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40421_icf_com/Documents/Desktop/Wealth Index/"/>
    </mc:Choice>
  </mc:AlternateContent>
  <xr:revisionPtr revIDLastSave="0" documentId="8_{D1D8DB0C-FAF3-4322-ABDC-62A61660B98F}" xr6:coauthVersionLast="43" xr6:coauthVersionMax="43" xr10:uidLastSave="{00000000-0000-0000-0000-000000000000}"/>
  <bookViews>
    <workbookView xWindow="-28920" yWindow="15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2" i="1" l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<sst xmlns="http://schemas.openxmlformats.org/spreadsheetml/2006/main" count="838" uniqueCount="172">
  <si>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</si>
  <si>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</si>
  <si>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</si>
  <si>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</si>
  <si>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</si>
  <si>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</si>
  <si>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</si>
  <si>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</si>
  <si>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</si>
  <si>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</si>
  <si>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</si>
  <si>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</si>
  <si>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</si>
  <si>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</si>
  <si>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</si>
  <si>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</si>
  <si>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</si>
  <si>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</si>
  <si>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</si>
  <si>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</si>
  <si>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</si>
  <si>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</si>
  <si>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</si>
  <si>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</si>
  <si>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</si>
  <si>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</si>
  <si>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</si>
  <si>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</si>
  <si>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</si>
  <si>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</si>
  <si>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</si>
  <si>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</si>
  <si>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</si>
  <si>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</si>
  <si>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</si>
  <si>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</si>
  <si>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</si>
  <si>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</si>
  <si>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</si>
  <si>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</si>
  <si>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</si>
  <si>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</si>
  <si>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</si>
  <si>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</si>
  <si>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</si>
  <si>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</si>
  <si>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</si>
  <si>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</si>
  <si>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</si>
  <si>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</si>
  <si>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</si>
  <si>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d'eau à boire: Robinet - dans le logement</t>
  </si>
  <si>
    <t>QH101_12 Source d'eau à boire: Robinet - dans cour/parcelle</t>
  </si>
  <si>
    <t>QH101_13 Source d'eau à boire: Robinet - chez un voisin</t>
  </si>
  <si>
    <t>QH101_14 Source d'eau à boire: Robinet - public / borne fontaine</t>
  </si>
  <si>
    <t>QH101_21 Source d'eau à boire: Puits à pompe ou forage</t>
  </si>
  <si>
    <t>QH101_31 Source d'eau à boire: Puits creusé - protégé</t>
  </si>
  <si>
    <t>QH101_32 Source d'eau à boire: Puits creusé - non protégé</t>
  </si>
  <si>
    <t>QH101_41 Source d'eau à boire: Source - protégé</t>
  </si>
  <si>
    <t>QH101_42 Source d'eau à boire: Source - non protégé</t>
  </si>
  <si>
    <t>QH101_71 Source d'eau à boire: Charrette avec petite citerne/ tonneau</t>
  </si>
  <si>
    <t>QH101_81 Source d'eau à boire: Eau de surface (rivière/barrage/lac/mare/fleuve/canal/canal d'irrigation)</t>
  </si>
  <si>
    <t>QH101_91 Source d'eau à boire: Eau de bouteille</t>
  </si>
  <si>
    <t>QH101_96 Source d'eau à boire: Autre</t>
  </si>
  <si>
    <t>QH105_11 Type de toilettes: Chasse d'eau connectée - à un système d'égout</t>
  </si>
  <si>
    <t>QH105_12 Type de toilettes: Chasse d'eau connectée - à une fosse septique</t>
  </si>
  <si>
    <t>QH105_13 Type de toilettes: Chasse d'eau connectée - à une fosse d'aisances/à ne sait pas où</t>
  </si>
  <si>
    <t>QH105_21 Type de toilettes: Fosses/latrines - améliorées auto-aérées</t>
  </si>
  <si>
    <t>QH105_22 Type de toilettes: Fosses/latrines - avec dalle lavable</t>
  </si>
  <si>
    <t>QH105_23 Type de toilettes: Fosses/latrines - sans dalle / trou ouvert</t>
  </si>
  <si>
    <t>QH105_31 Type de toilettes: Toilettes à compostage/tinette/suspendus</t>
  </si>
  <si>
    <t>QH105_61 Type de toilettes: Pas de toilettes / nature</t>
  </si>
  <si>
    <t>QH105_96 Type de toilettes: Autre</t>
  </si>
  <si>
    <t>QH105_12_sh Type de toilettes: Chasse d'eau connectée - à une fosse septique - shared</t>
  </si>
  <si>
    <t>QH105_13_sh Type de toilettes: Chasse d'eau connectée - à une fosse d'aisances - shared/à ne sait pas où</t>
  </si>
  <si>
    <t>QH105_21_sh Type de toilettes: Fosses/latrines - améliorées auto-aérées - shared</t>
  </si>
  <si>
    <t>QH105_22_sh Type de toilettes: Fosses/latrines - avec dalle lavable - shared</t>
  </si>
  <si>
    <t>QH105_23_sh Type de toilettes: Fosses/latrines - sans dalle / trou ouvert - shared</t>
  </si>
  <si>
    <t>QH105_31_sh Type de toilettes: Toilettes à compostage/tinette/suspendus - shared</t>
  </si>
  <si>
    <t>QH105_96_sh Type de toilettes: Autre - shared</t>
  </si>
  <si>
    <t>QH108_2 Type de combustible: Gaz propane liquifié (GPL)</t>
  </si>
  <si>
    <t>QH108_3 Type de combustible: Gaz naturel</t>
  </si>
  <si>
    <t>QH108_4 Type de combustible: Biogaz</t>
  </si>
  <si>
    <t>QH108_6 Type de combustible: Charbon, lignite</t>
  </si>
  <si>
    <t>QH108_7 Type de combustible: Charbon de bois</t>
  </si>
  <si>
    <t>QH108_8 Type de combustible: Bois</t>
  </si>
  <si>
    <t>QH108_9 Type de combustible: Pailles/branchages/herbes</t>
  </si>
  <si>
    <t>QH108_10 Type de combustible: Résidus agricoles</t>
  </si>
  <si>
    <t>QH108_11 Type de combustible: Bouse</t>
  </si>
  <si>
    <t>QH108_95 Type de combustible: Pas de repasd préparé dans le ménage</t>
  </si>
  <si>
    <t>QH108_96 Type de combustible: Autre</t>
  </si>
  <si>
    <t>QH114A Electricité</t>
  </si>
  <si>
    <t>QH114B Radio</t>
  </si>
  <si>
    <t>QH114C Television</t>
  </si>
  <si>
    <t>QH114D Telephone fixe</t>
  </si>
  <si>
    <t>QH114E Ordinateur</t>
  </si>
  <si>
    <t>QH114F Refrigerateur/congélateur</t>
  </si>
  <si>
    <t>QH114G Table/chaise</t>
  </si>
  <si>
    <t>QH114H Armoire/bibliothèque</t>
  </si>
  <si>
    <t>QH114I Cuisinière/rechaud</t>
  </si>
  <si>
    <t>QH114J Fusil de chasse</t>
  </si>
  <si>
    <t>QH114K Charrue</t>
  </si>
  <si>
    <t>QH115A Montre</t>
  </si>
  <si>
    <t>QH115B Telephone portable</t>
  </si>
  <si>
    <t>QH115C Bicyclette</t>
  </si>
  <si>
    <t>QH115D Motorcyclette/scooter</t>
  </si>
  <si>
    <t>QH115E Charrette avec animal</t>
  </si>
  <si>
    <t>QH115F Voiture/camionnette</t>
  </si>
  <si>
    <t>QH115H Pirogue</t>
  </si>
  <si>
    <t>QH116 Compte en banque</t>
  </si>
  <si>
    <t>QH131_11 Principal matériau du sol du logement: Terre/sable</t>
  </si>
  <si>
    <t>QH131_12 Principal matériau du sol du logement: Bouse</t>
  </si>
  <si>
    <t>QH131_33 Principal matériau du sol du logement: Carrelage/carreaux</t>
  </si>
  <si>
    <t>QH131_34 Principal matériau du sol du logement: Ciment</t>
  </si>
  <si>
    <t>QH131_35 Principal matériau du sol du logement: Moquette</t>
  </si>
  <si>
    <t>QH132_11 Principal matériau du toi du logement: Pas de toit</t>
  </si>
  <si>
    <t>QH132_12 Principal matériau du toi du logement: Chaume/palmes/feuilles</t>
  </si>
  <si>
    <t>QH132_13 Principal matériau du toi du logement: Mottes de terre</t>
  </si>
  <si>
    <t>QH132_21 Principal matériau du toi du logement: Natte/Palmes/bambou</t>
  </si>
  <si>
    <t>QH132_23 Principal matériau du toi du logement: Planches en bois/Carton</t>
  </si>
  <si>
    <t>QH132_31 Principal matériau du toi du logement: Tôle</t>
  </si>
  <si>
    <t>QH132_32 Principal matériau du toi du logement: Bois/Tuiles</t>
  </si>
  <si>
    <t>QH132_35 Principal matériau du toi du logement: Ciment</t>
  </si>
  <si>
    <t>QH133_11 Principal matériau des murs exterieurs du logement: Pas de mur</t>
  </si>
  <si>
    <t>QH133_12 Principal matériau des murs exterieurs du logement: Bambou/cane/palme/tronc</t>
  </si>
  <si>
    <t>QH133_13 Principal matériau des murs exterieurs du logement: Terre</t>
  </si>
  <si>
    <t>QH133_21 Principal matériau des murs exterieurs du logement: Bambou avec boue</t>
  </si>
  <si>
    <t>QH133_22 Principal matériau des murs exterieurs du logement: Pierres avec boue/Adobe non recouvert</t>
  </si>
  <si>
    <t>QH133_31 Principal matériau des murs exterieurs du logement: Ciment</t>
  </si>
  <si>
    <t>QH133_32 Principal matériau des murs exterieurs du logement: Pierres avec chaux / ciment</t>
  </si>
  <si>
    <t>QH133_33 Principal matériau des murs exterieurs du logement: Briques</t>
  </si>
  <si>
    <t>QH133_34 Principal matériau des murs exterieurs du logement: Blocs de ciment/Adobe recouvert</t>
  </si>
  <si>
    <t>QH133_96 Principal matériau des murs exterieurs du logement: Autre</t>
  </si>
  <si>
    <t>memsleep Number of members per sleeping room</t>
  </si>
  <si>
    <t>QH111A_1 Vaches/taureaux: 1-4</t>
  </si>
  <si>
    <t>QH111A_2 Vaches/taureaux: 5-9</t>
  </si>
  <si>
    <t>QH111A_3 Vaches/taureaux: 10+</t>
  </si>
  <si>
    <t>QH111B_1 Autre bétail: 1-9</t>
  </si>
  <si>
    <t>QH111B_2 Autre bétail: 10-29</t>
  </si>
  <si>
    <t>QH111B_3 Autre bétail: 30+</t>
  </si>
  <si>
    <t>QH111C_1 Chevaux/ânes/mules: 1-4</t>
  </si>
  <si>
    <t>QH111C_2 Chevaux/ânes/mules: 5-9</t>
  </si>
  <si>
    <t>QH111C_3 Chevaux/ânes/mules: 10+</t>
  </si>
  <si>
    <t>QH111D_1 Chèvres: 1-4</t>
  </si>
  <si>
    <t>QH111D_2 Chèvres: 5-9</t>
  </si>
  <si>
    <t>QH111D_3 Chèvres: 10+</t>
  </si>
  <si>
    <t>QH111E_1 Moutons: 1-4</t>
  </si>
  <si>
    <t>QH111E_2 Moutons: 5-9</t>
  </si>
  <si>
    <t>QH111E_3 Moutons: 10+</t>
  </si>
  <si>
    <t>QH111F_1 Poulets/autre volaille: 1-9</t>
  </si>
  <si>
    <t>QH111F_2 Poulets/autre volaille: 10-29</t>
  </si>
  <si>
    <t>QH111F_3 Poulets/autre volaille: 30+</t>
  </si>
  <si>
    <t>QH111G_1 Porcs: 1-4</t>
  </si>
  <si>
    <t>QH111G_2 Porcs: 5-9</t>
  </si>
  <si>
    <t>QH111G_3 Porcs: 10+</t>
  </si>
  <si>
    <t>landarea</t>
  </si>
  <si>
    <t>Extraction Method: Principal Component Analysis.</t>
  </si>
  <si>
    <t>(Constant)</t>
  </si>
  <si>
    <t>urbscore Urban wealth score</t>
  </si>
  <si>
    <t>rurscore Rural wealth score</t>
  </si>
  <si>
    <t>Combined Score=1.317 +1.201 * Urban Score</t>
  </si>
  <si>
    <t xml:space="preserve">Combined Score= -.353 + .423 * Rural Score </t>
  </si>
  <si>
    <t>a. Multiple modes exist. The smallest value is shown</t>
  </si>
  <si>
    <r>
      <t>-.54137</t>
    </r>
    <r>
      <rPr>
        <vertAlign val="superscript"/>
        <sz val="9"/>
        <color indexed="8"/>
        <rFont val="Arial"/>
      </rPr>
      <t>a</t>
    </r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</si>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</sst>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1"/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173" fontId="5" fillId="0" borderId="29" xfId="1" applyNumberFormat="1" applyFont="1" applyBorder="1" applyAlignment="1">
      <alignment horizontal="right" vertical="center"/>
    </xf>
    <xf numFmtId="171" fontId="5" fillId="0" borderId="1" xfId="1" applyNumberFormat="1" applyFont="1" applyBorder="1" applyAlignment="1">
      <alignment horizontal="right" vertical="center"/>
    </xf>
    <xf numFmtId="167" fontId="5" fillId="0" borderId="29" xfId="1" applyNumberFormat="1" applyFont="1" applyBorder="1" applyAlignment="1">
      <alignment horizontal="right" vertical="center"/>
    </xf>
    <xf numFmtId="168" fontId="5" fillId="0" borderId="1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4" fontId="5" fillId="0" borderId="17" xfId="1" applyNumberFormat="1" applyFont="1" applyBorder="1" applyAlignment="1">
      <alignment horizontal="right" vertical="center"/>
    </xf>
    <xf numFmtId="172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wrapText="1"/>
    </xf>
    <xf numFmtId="0" fontId="4" fillId="0" borderId="0" xfId="2"/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7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4" fillId="0" borderId="0" xfId="3"/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/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71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71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7" xfId="4" applyNumberFormat="1" applyFont="1" applyBorder="1" applyAlignment="1">
      <alignment horizontal="right" vertical="center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71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69" fontId="5" fillId="0" borderId="24" xfId="4" applyNumberFormat="1" applyFont="1" applyBorder="1" applyAlignment="1">
      <alignment horizontal="right" vertical="center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71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65" fontId="5" fillId="0" borderId="29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</cellXfs>
  <cellStyles count="5">
    <cellStyle name="Normal" xfId="0" builtinId="0"/>
    <cellStyle name="Normal_Common" xfId="1" xr:uid="{00000000-0005-0000-0000-000001000000}"/>
    <cellStyle name="Normal_Composite" xfId="4" xr:uid="{ADBD9E89-BF10-4C56-A226-407E8EBFA8D3}"/>
    <cellStyle name="Normal_Rural" xfId="3" xr:uid="{DF102FA5-9DBC-49CB-BF37-979D3FB43B46}"/>
    <cellStyle name="Normal_Urban" xfId="2" xr:uid="{EFEE1F24-C20C-4D22-9CA8-6373D87177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409575</xdr:colOff>
      <xdr:row>76</xdr:row>
      <xdr:rowOff>122767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93FA02-4465-4079-88F6-3C492F0E6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100012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1"/>
  <sheetViews>
    <sheetView tabSelected="1" workbookViewId="0">
      <selection activeCell="G6" sqref="G6"/>
    </sheetView>
  </sheetViews>
  <sheetFormatPr defaultColWidth="9.1796875" defaultRowHeight="14.5" x14ac:dyDescent="0.35"/>
  <cols>
    <col min="1" max="1" width="9.1796875" style="2"/>
    <col min="2" max="2" width="30.7265625" style="2" customWidth="1"/>
    <col min="3" max="7" width="9.1796875" style="2"/>
    <col min="8" max="8" width="27.7265625" style="2" customWidth="1"/>
    <col min="9" max="9" width="10.26953125" style="2" bestFit="1" customWidth="1"/>
    <col min="10" max="10" width="9.1796875" style="2"/>
    <col min="11" max="11" width="12.7265625" style="2" bestFit="1" customWidth="1"/>
    <col min="12" max="12" width="15.26953125" style="2" bestFit="1" customWidth="1"/>
    <col min="13" max="16384" width="9.1796875" style="2"/>
  </cols>
  <sheetData>
    <row r="1" spans="1:12" x14ac:dyDescent="0.35">
      <c r="A1" s="2" t="s">
        <v>43</v>
      </c>
    </row>
    <row r="2" spans="1:12" ht="15.75" customHeight="1" thickBot="1" x14ac:dyDescent="0.3">
      <c r="H2" s="4" t="s">
        <v>6</v>
      </c>
      <c r="I2" s="4"/>
      <c r="J2" s="6"/>
    </row>
    <row r="3" spans="1:12" ht="15.5" thickTop="1" thickBot="1" x14ac:dyDescent="0.3">
      <c r="B3" s="4" t="s">
        <v>0</v>
      </c>
      <c r="C3" s="4"/>
      <c r="D3" s="4"/>
      <c r="E3" s="4"/>
      <c r="F3" s="4"/>
      <c r="G3" s="6"/>
      <c r="H3" s="31" t="s">
        <v>47</v>
      </c>
      <c r="I3" s="32" t="s">
        <v>4</v>
      </c>
      <c r="J3" s="6"/>
      <c r="K3" s="3" t="s">
        <v>8</v>
      </c>
      <c r="L3" s="3"/>
    </row>
    <row r="4" spans="1:12" ht="26" thickTop="1" thickBot="1" x14ac:dyDescent="0.3">
      <c r="B4" s="7" t="s">
        <v>47</v>
      </c>
      <c r="C4" s="8" t="s">
        <v>1</v>
      </c>
      <c r="D4" s="9" t="s">
        <v>49</v>
      </c>
      <c r="E4" s="9" t="s">
        <v>50</v>
      </c>
      <c r="F4" s="10" t="s">
        <v>2</v>
      </c>
      <c r="G4" s="6"/>
      <c r="H4" s="33"/>
      <c r="I4" s="34" t="s">
        <v>5</v>
      </c>
      <c r="J4" s="6"/>
      <c r="K4" s="1" t="s">
        <v>9</v>
      </c>
      <c r="L4" s="1" t="s">
        <v>10</v>
      </c>
    </row>
    <row r="5" spans="1:12" ht="23.5" thickTop="1" x14ac:dyDescent="0.25">
      <c r="B5" s="11" t="s">
        <v>51</v>
      </c>
      <c r="C5" s="12">
        <v>2.2144890857323633E-2</v>
      </c>
      <c r="D5" s="13">
        <v>0.14716630208127685</v>
      </c>
      <c r="E5" s="14">
        <v>6322</v>
      </c>
      <c r="F5" s="15">
        <v>0</v>
      </c>
      <c r="G5" s="6"/>
      <c r="H5" s="11" t="s">
        <v>51</v>
      </c>
      <c r="I5" s="35">
        <v>4.0682313997791347E-2</v>
      </c>
      <c r="J5" s="6"/>
      <c r="K5" s="2">
        <f>((1-C5)/D5)*I5</f>
        <v>0.27031601685905282</v>
      </c>
      <c r="L5" s="2">
        <f>((0-C5)/D5)*I5</f>
        <v>-6.1216826852583941E-3</v>
      </c>
    </row>
    <row r="6" spans="1:12" ht="23" x14ac:dyDescent="0.25">
      <c r="B6" s="16" t="s">
        <v>52</v>
      </c>
      <c r="C6" s="17">
        <v>8.1777918380259412E-2</v>
      </c>
      <c r="D6" s="18">
        <v>0.27404775120599106</v>
      </c>
      <c r="E6" s="19">
        <v>6322</v>
      </c>
      <c r="F6" s="20">
        <v>0</v>
      </c>
      <c r="G6" s="6"/>
      <c r="H6" s="16" t="s">
        <v>52</v>
      </c>
      <c r="I6" s="36">
        <v>7.2442181116435009E-2</v>
      </c>
      <c r="J6" s="6"/>
      <c r="K6" s="2">
        <f t="shared" ref="K6:K16" si="0">((1-C6)/D6)*I6</f>
        <v>0.24272416047599024</v>
      </c>
      <c r="L6" s="2">
        <f t="shared" ref="L6:L69" si="1">((0-C6)/D6)*I6</f>
        <v>-2.1617293878740215E-2</v>
      </c>
    </row>
    <row r="7" spans="1:12" ht="23" x14ac:dyDescent="0.25">
      <c r="B7" s="16" t="s">
        <v>53</v>
      </c>
      <c r="C7" s="17">
        <v>1.2654223347042075E-3</v>
      </c>
      <c r="D7" s="18">
        <v>3.5553072737341582E-2</v>
      </c>
      <c r="E7" s="19">
        <v>6322</v>
      </c>
      <c r="F7" s="20">
        <v>0</v>
      </c>
      <c r="G7" s="6"/>
      <c r="H7" s="16" t="s">
        <v>53</v>
      </c>
      <c r="I7" s="36">
        <v>1.03248865625295E-3</v>
      </c>
      <c r="J7" s="6"/>
      <c r="K7" s="2">
        <f t="shared" si="0"/>
        <v>2.9004022512066664E-2</v>
      </c>
      <c r="L7" s="2">
        <f t="shared" si="1"/>
        <v>-3.6748840686812368E-5</v>
      </c>
    </row>
    <row r="8" spans="1:12" ht="23" x14ac:dyDescent="0.25">
      <c r="B8" s="16" t="s">
        <v>54</v>
      </c>
      <c r="C8" s="17">
        <v>0.18364441632394812</v>
      </c>
      <c r="D8" s="18">
        <v>0.38722456315146975</v>
      </c>
      <c r="E8" s="19">
        <v>6322</v>
      </c>
      <c r="F8" s="20">
        <v>0</v>
      </c>
      <c r="G8" s="6"/>
      <c r="H8" s="16" t="s">
        <v>54</v>
      </c>
      <c r="I8" s="36">
        <v>8.9323271349173346E-3</v>
      </c>
      <c r="J8" s="6"/>
      <c r="K8" s="2">
        <f t="shared" si="0"/>
        <v>1.8831334129386052E-2</v>
      </c>
      <c r="L8" s="2">
        <f t="shared" si="1"/>
        <v>-4.2362292044598347E-3</v>
      </c>
    </row>
    <row r="9" spans="1:12" ht="23" x14ac:dyDescent="0.25">
      <c r="B9" s="16" t="s">
        <v>55</v>
      </c>
      <c r="C9" s="17">
        <v>0.42961088263207836</v>
      </c>
      <c r="D9" s="18">
        <v>0.49505973278392229</v>
      </c>
      <c r="E9" s="19">
        <v>6322</v>
      </c>
      <c r="F9" s="20">
        <v>0</v>
      </c>
      <c r="G9" s="6"/>
      <c r="H9" s="16" t="s">
        <v>55</v>
      </c>
      <c r="I9" s="36">
        <v>-3.7526856168913776E-2</v>
      </c>
      <c r="J9" s="6"/>
      <c r="K9" s="2">
        <f t="shared" si="0"/>
        <v>-4.3237025656300415E-2</v>
      </c>
      <c r="L9" s="2">
        <f t="shared" si="1"/>
        <v>3.2565657704523535E-2</v>
      </c>
    </row>
    <row r="10" spans="1:12" ht="23" x14ac:dyDescent="0.25">
      <c r="B10" s="16" t="s">
        <v>56</v>
      </c>
      <c r="C10" s="17">
        <v>8.5732363176210066E-2</v>
      </c>
      <c r="D10" s="18">
        <v>0.27999058088618289</v>
      </c>
      <c r="E10" s="19">
        <v>6322</v>
      </c>
      <c r="F10" s="20">
        <v>0</v>
      </c>
      <c r="G10" s="6"/>
      <c r="H10" s="16" t="s">
        <v>56</v>
      </c>
      <c r="I10" s="36">
        <v>-1.2191697281419906E-2</v>
      </c>
      <c r="J10" s="6"/>
      <c r="K10" s="2">
        <f t="shared" si="0"/>
        <v>-3.9810175853329445E-2</v>
      </c>
      <c r="L10" s="2">
        <f t="shared" si="1"/>
        <v>3.7330649329592662E-3</v>
      </c>
    </row>
    <row r="11" spans="1:12" ht="23" x14ac:dyDescent="0.25">
      <c r="B11" s="16" t="s">
        <v>57</v>
      </c>
      <c r="C11" s="17">
        <v>0.15896868079721607</v>
      </c>
      <c r="D11" s="18">
        <v>0.36567579994558969</v>
      </c>
      <c r="E11" s="19">
        <v>6322</v>
      </c>
      <c r="F11" s="20">
        <v>0</v>
      </c>
      <c r="G11" s="6"/>
      <c r="H11" s="16" t="s">
        <v>57</v>
      </c>
      <c r="I11" s="36">
        <v>-2.1240784789436789E-2</v>
      </c>
      <c r="J11" s="6"/>
      <c r="K11" s="2">
        <f t="shared" si="0"/>
        <v>-4.8852467828115857E-2</v>
      </c>
      <c r="L11" s="2">
        <f t="shared" si="1"/>
        <v>9.2339157734166698E-3</v>
      </c>
    </row>
    <row r="12" spans="1:12" ht="23" x14ac:dyDescent="0.25">
      <c r="B12" s="16" t="s">
        <v>58</v>
      </c>
      <c r="C12" s="17">
        <v>2.0563112938943376E-3</v>
      </c>
      <c r="D12" s="18">
        <v>4.5303504533831342E-2</v>
      </c>
      <c r="E12" s="19">
        <v>6322</v>
      </c>
      <c r="F12" s="20">
        <v>0</v>
      </c>
      <c r="G12" s="6"/>
      <c r="H12" s="16" t="s">
        <v>58</v>
      </c>
      <c r="I12" s="36">
        <v>-1.3582868008385446E-3</v>
      </c>
      <c r="J12" s="6"/>
      <c r="K12" s="2">
        <f t="shared" si="0"/>
        <v>-2.9920284408403532E-2</v>
      </c>
      <c r="L12" s="2">
        <f t="shared" si="1"/>
        <v>6.1652194850094459E-5</v>
      </c>
    </row>
    <row r="13" spans="1:12" ht="23" x14ac:dyDescent="0.25">
      <c r="B13" s="16" t="s">
        <v>59</v>
      </c>
      <c r="C13" s="17">
        <v>1.6450490351154697E-2</v>
      </c>
      <c r="D13" s="18">
        <v>0.12721018599007622</v>
      </c>
      <c r="E13" s="19">
        <v>6322</v>
      </c>
      <c r="F13" s="20">
        <v>0</v>
      </c>
      <c r="G13" s="6"/>
      <c r="H13" s="16" t="s">
        <v>59</v>
      </c>
      <c r="I13" s="36">
        <v>-6.1531481894670564E-3</v>
      </c>
      <c r="J13" s="6"/>
      <c r="K13" s="2">
        <f t="shared" si="0"/>
        <v>-4.757422400922455E-2</v>
      </c>
      <c r="L13" s="2">
        <f t="shared" si="1"/>
        <v>7.9570911819867363E-4</v>
      </c>
    </row>
    <row r="14" spans="1:12" ht="34.5" x14ac:dyDescent="0.25">
      <c r="B14" s="16" t="s">
        <v>60</v>
      </c>
      <c r="C14" s="17">
        <v>1.7399557102182853E-3</v>
      </c>
      <c r="D14" s="18">
        <v>4.1679767889077318E-2</v>
      </c>
      <c r="E14" s="19">
        <v>6322</v>
      </c>
      <c r="F14" s="20">
        <v>0</v>
      </c>
      <c r="G14" s="6"/>
      <c r="H14" s="16" t="s">
        <v>60</v>
      </c>
      <c r="I14" s="36">
        <v>4.7438174737764426E-3</v>
      </c>
      <c r="J14" s="6"/>
      <c r="K14" s="2">
        <f t="shared" si="0"/>
        <v>0.1136177978264539</v>
      </c>
      <c r="L14" s="2">
        <f t="shared" si="1"/>
        <v>-1.9803450738250559E-4</v>
      </c>
    </row>
    <row r="15" spans="1:12" ht="46" x14ac:dyDescent="0.25">
      <c r="B15" s="16" t="s">
        <v>61</v>
      </c>
      <c r="C15" s="17">
        <v>9.9652008857956352E-3</v>
      </c>
      <c r="D15" s="18">
        <v>9.9335071699661104E-2</v>
      </c>
      <c r="E15" s="19">
        <v>6322</v>
      </c>
      <c r="F15" s="20">
        <v>0</v>
      </c>
      <c r="G15" s="6"/>
      <c r="H15" s="16" t="s">
        <v>61</v>
      </c>
      <c r="I15" s="36">
        <v>-5.6956786230376163E-3</v>
      </c>
      <c r="J15" s="6"/>
      <c r="K15" s="2">
        <f t="shared" si="0"/>
        <v>-5.6766657987899281E-2</v>
      </c>
      <c r="L15" s="2">
        <f t="shared" si="1"/>
        <v>5.7138511794817943E-4</v>
      </c>
    </row>
    <row r="16" spans="1:12" ht="23" x14ac:dyDescent="0.25">
      <c r="B16" s="16" t="s">
        <v>62</v>
      </c>
      <c r="C16" s="17">
        <v>2.372666877570389E-3</v>
      </c>
      <c r="D16" s="18">
        <v>4.8656056163951453E-2</v>
      </c>
      <c r="E16" s="19">
        <v>6322</v>
      </c>
      <c r="F16" s="20">
        <v>0</v>
      </c>
      <c r="G16" s="6"/>
      <c r="H16" s="16" t="s">
        <v>62</v>
      </c>
      <c r="I16" s="36">
        <v>1.3673905038988819E-2</v>
      </c>
      <c r="J16" s="6"/>
      <c r="K16" s="2">
        <f t="shared" si="0"/>
        <v>0.2803651280623628</v>
      </c>
      <c r="L16" s="2">
        <f t="shared" si="1"/>
        <v>-6.6679513571197755E-4</v>
      </c>
    </row>
    <row r="17" spans="2:12" ht="23" x14ac:dyDescent="0.25">
      <c r="B17" s="16" t="s">
        <v>63</v>
      </c>
      <c r="C17" s="17">
        <v>4.2708003796267007E-3</v>
      </c>
      <c r="D17" s="18">
        <v>6.5216818465891807E-2</v>
      </c>
      <c r="E17" s="19">
        <v>6322</v>
      </c>
      <c r="F17" s="20">
        <v>0</v>
      </c>
      <c r="G17" s="6"/>
      <c r="H17" s="16" t="s">
        <v>63</v>
      </c>
      <c r="I17" s="36">
        <v>1.488341576682033E-2</v>
      </c>
      <c r="J17" s="6"/>
      <c r="K17" s="2">
        <f>((1-C17)/D17)*I17</f>
        <v>0.22723972155838895</v>
      </c>
      <c r="L17" s="2">
        <f t="shared" si="1"/>
        <v>-9.7465805910667224E-4</v>
      </c>
    </row>
    <row r="18" spans="2:12" ht="34.5" x14ac:dyDescent="0.25">
      <c r="B18" s="16" t="s">
        <v>64</v>
      </c>
      <c r="C18" s="17">
        <v>2.2144890857323631E-3</v>
      </c>
      <c r="D18" s="18">
        <v>4.7009942420834235E-2</v>
      </c>
      <c r="E18" s="19">
        <v>6322</v>
      </c>
      <c r="F18" s="20">
        <v>0</v>
      </c>
      <c r="G18" s="6"/>
      <c r="H18" s="16" t="s">
        <v>64</v>
      </c>
      <c r="I18" s="36">
        <v>2.071097421433702E-2</v>
      </c>
      <c r="J18" s="6"/>
      <c r="K18" s="2">
        <f t="shared" ref="K18:K81" si="2">((1-C18)/D18)*I18</f>
        <v>0.43959019994089504</v>
      </c>
      <c r="L18" s="2">
        <f t="shared" si="1"/>
        <v>-9.7562821800452294E-4</v>
      </c>
    </row>
    <row r="19" spans="2:12" ht="34.5" x14ac:dyDescent="0.25">
      <c r="B19" s="16" t="s">
        <v>65</v>
      </c>
      <c r="C19" s="17">
        <v>1.2970578930718124E-2</v>
      </c>
      <c r="D19" s="18">
        <v>0.11315638903586876</v>
      </c>
      <c r="E19" s="19">
        <v>6322</v>
      </c>
      <c r="F19" s="20">
        <v>0</v>
      </c>
      <c r="G19" s="6"/>
      <c r="H19" s="16" t="s">
        <v>65</v>
      </c>
      <c r="I19" s="36">
        <v>4.0500253802285717E-2</v>
      </c>
      <c r="J19" s="6"/>
      <c r="K19" s="2">
        <f t="shared" si="2"/>
        <v>0.35327163056570882</v>
      </c>
      <c r="L19" s="2">
        <f t="shared" si="1"/>
        <v>-4.6423515555109162E-3</v>
      </c>
    </row>
    <row r="20" spans="2:12" ht="34.5" x14ac:dyDescent="0.25">
      <c r="B20" s="16" t="s">
        <v>66</v>
      </c>
      <c r="C20" s="17">
        <v>1.1072445428661815E-3</v>
      </c>
      <c r="D20" s="18">
        <v>3.3259487783759326E-2</v>
      </c>
      <c r="E20" s="19">
        <v>6322</v>
      </c>
      <c r="F20" s="20">
        <v>0</v>
      </c>
      <c r="G20" s="6"/>
      <c r="H20" s="16" t="s">
        <v>66</v>
      </c>
      <c r="I20" s="36">
        <v>1.3995905155791754E-2</v>
      </c>
      <c r="J20" s="6"/>
      <c r="K20" s="2">
        <f t="shared" si="2"/>
        <v>0.42034346280618889</v>
      </c>
      <c r="L20" s="2">
        <f t="shared" si="1"/>
        <v>-4.6593891364106438E-4</v>
      </c>
    </row>
    <row r="21" spans="2:12" ht="34.5" x14ac:dyDescent="0.25">
      <c r="B21" s="16" t="s">
        <v>67</v>
      </c>
      <c r="C21" s="17">
        <v>2.3252135400189812E-2</v>
      </c>
      <c r="D21" s="18">
        <v>0.15071518376925239</v>
      </c>
      <c r="E21" s="19">
        <v>6322</v>
      </c>
      <c r="F21" s="20">
        <v>0</v>
      </c>
      <c r="G21" s="6"/>
      <c r="H21" s="16" t="s">
        <v>67</v>
      </c>
      <c r="I21" s="36">
        <v>1.5167614166772549E-3</v>
      </c>
      <c r="J21" s="6"/>
      <c r="K21" s="2">
        <f t="shared" si="2"/>
        <v>9.829755952891147E-3</v>
      </c>
      <c r="L21" s="2">
        <f t="shared" si="1"/>
        <v>-2.3400390689473657E-4</v>
      </c>
    </row>
    <row r="22" spans="2:12" ht="23" x14ac:dyDescent="0.25">
      <c r="B22" s="16" t="s">
        <v>68</v>
      </c>
      <c r="C22" s="17">
        <v>0.18981335020563114</v>
      </c>
      <c r="D22" s="18">
        <v>0.39218435893024772</v>
      </c>
      <c r="E22" s="19">
        <v>6322</v>
      </c>
      <c r="F22" s="20">
        <v>0</v>
      </c>
      <c r="G22" s="6"/>
      <c r="H22" s="16" t="s">
        <v>68</v>
      </c>
      <c r="I22" s="36">
        <v>3.2512275087070913E-2</v>
      </c>
      <c r="J22" s="6"/>
      <c r="K22" s="2">
        <f t="shared" si="2"/>
        <v>6.7164869353374207E-2</v>
      </c>
      <c r="L22" s="2">
        <f t="shared" si="1"/>
        <v>-1.5735619528318832E-2</v>
      </c>
    </row>
    <row r="23" spans="2:12" ht="34.5" x14ac:dyDescent="0.25">
      <c r="B23" s="16" t="s">
        <v>69</v>
      </c>
      <c r="C23" s="17">
        <v>2.8313824739006642E-2</v>
      </c>
      <c r="D23" s="18">
        <v>0.16588099519712315</v>
      </c>
      <c r="E23" s="19">
        <v>6322</v>
      </c>
      <c r="F23" s="20">
        <v>0</v>
      </c>
      <c r="G23" s="6"/>
      <c r="H23" s="16" t="s">
        <v>69</v>
      </c>
      <c r="I23" s="36">
        <v>-8.6836115763872946E-3</v>
      </c>
      <c r="J23" s="6"/>
      <c r="K23" s="2">
        <f t="shared" si="2"/>
        <v>-5.0866256921625878E-2</v>
      </c>
      <c r="L23" s="2">
        <f t="shared" si="1"/>
        <v>1.4821845985627596E-3</v>
      </c>
    </row>
    <row r="24" spans="2:12" ht="34.5" x14ac:dyDescent="0.25">
      <c r="B24" s="16" t="s">
        <v>70</v>
      </c>
      <c r="C24" s="17">
        <v>1.1072445428661815E-3</v>
      </c>
      <c r="D24" s="18">
        <v>3.3259487783759319E-2</v>
      </c>
      <c r="E24" s="19">
        <v>6322</v>
      </c>
      <c r="F24" s="20">
        <v>0</v>
      </c>
      <c r="G24" s="6"/>
      <c r="H24" s="16" t="s">
        <v>70</v>
      </c>
      <c r="I24" s="36">
        <v>-1.7098543777961319E-3</v>
      </c>
      <c r="J24" s="6"/>
      <c r="K24" s="2">
        <f t="shared" si="2"/>
        <v>-5.1352599353656388E-2</v>
      </c>
      <c r="L24" s="2">
        <f t="shared" si="1"/>
        <v>5.6922912981091791E-5</v>
      </c>
    </row>
    <row r="25" spans="2:12" ht="23" x14ac:dyDescent="0.25">
      <c r="B25" s="16" t="s">
        <v>71</v>
      </c>
      <c r="C25" s="17">
        <v>0.41838025941157864</v>
      </c>
      <c r="D25" s="18">
        <v>0.49333225592656699</v>
      </c>
      <c r="E25" s="19">
        <v>6322</v>
      </c>
      <c r="F25" s="20">
        <v>0</v>
      </c>
      <c r="G25" s="6"/>
      <c r="H25" s="16" t="s">
        <v>71</v>
      </c>
      <c r="I25" s="36">
        <v>-5.3121191782549849E-2</v>
      </c>
      <c r="J25" s="6"/>
      <c r="K25" s="2">
        <f t="shared" si="2"/>
        <v>-6.2627840391838024E-2</v>
      </c>
      <c r="L25" s="2">
        <f t="shared" si="1"/>
        <v>4.5050486221488058E-2</v>
      </c>
    </row>
    <row r="26" spans="2:12" x14ac:dyDescent="0.25">
      <c r="B26" s="16" t="s">
        <v>72</v>
      </c>
      <c r="C26" s="17">
        <v>1.5817779183802593E-4</v>
      </c>
      <c r="D26" s="18">
        <v>1.2576875281167016E-2</v>
      </c>
      <c r="E26" s="19">
        <v>6322</v>
      </c>
      <c r="F26" s="20">
        <v>0</v>
      </c>
      <c r="G26" s="6"/>
      <c r="H26" s="16" t="s">
        <v>72</v>
      </c>
      <c r="I26" s="36">
        <v>-1.7046191753881156E-3</v>
      </c>
      <c r="J26" s="6"/>
      <c r="K26" s="2">
        <f t="shared" si="2"/>
        <v>-0.13551454589385736</v>
      </c>
      <c r="L26" s="2">
        <f t="shared" si="1"/>
        <v>2.1438782770741557E-5</v>
      </c>
    </row>
    <row r="27" spans="2:12" ht="34.5" x14ac:dyDescent="0.25">
      <c r="B27" s="16" t="s">
        <v>73</v>
      </c>
      <c r="C27" s="17">
        <v>4.1126225877886743E-3</v>
      </c>
      <c r="D27" s="18">
        <v>6.4002788032432242E-2</v>
      </c>
      <c r="E27" s="19">
        <v>6322</v>
      </c>
      <c r="F27" s="20">
        <v>0</v>
      </c>
      <c r="G27" s="6"/>
      <c r="H27" s="16" t="s">
        <v>73</v>
      </c>
      <c r="I27" s="36">
        <v>1.2786029366982954E-2</v>
      </c>
      <c r="J27" s="6"/>
      <c r="K27" s="2">
        <f t="shared" si="2"/>
        <v>0.19895141516878498</v>
      </c>
      <c r="L27" s="2">
        <f t="shared" si="1"/>
        <v>-8.2159097750768902E-4</v>
      </c>
    </row>
    <row r="28" spans="2:12" ht="46" x14ac:dyDescent="0.25">
      <c r="B28" s="16" t="s">
        <v>74</v>
      </c>
      <c r="C28" s="17">
        <v>3.1635558367605187E-4</v>
      </c>
      <c r="D28" s="18">
        <v>1.7784980610949776E-2</v>
      </c>
      <c r="E28" s="19">
        <v>6322</v>
      </c>
      <c r="F28" s="20">
        <v>0</v>
      </c>
      <c r="G28" s="6"/>
      <c r="H28" s="16" t="s">
        <v>74</v>
      </c>
      <c r="I28" s="36">
        <v>8.6083765826099404E-4</v>
      </c>
      <c r="J28" s="6"/>
      <c r="K28" s="2">
        <f t="shared" si="2"/>
        <v>4.8387195144386927E-2</v>
      </c>
      <c r="L28" s="2">
        <f t="shared" si="1"/>
        <v>-1.5312403526704722E-5</v>
      </c>
    </row>
    <row r="29" spans="2:12" ht="34.5" x14ac:dyDescent="0.25">
      <c r="B29" s="16" t="s">
        <v>75</v>
      </c>
      <c r="C29" s="17">
        <v>2.8155646947168621E-2</v>
      </c>
      <c r="D29" s="18">
        <v>0.16543045481716678</v>
      </c>
      <c r="E29" s="19">
        <v>6322</v>
      </c>
      <c r="F29" s="20">
        <v>0</v>
      </c>
      <c r="G29" s="6"/>
      <c r="H29" s="16" t="s">
        <v>75</v>
      </c>
      <c r="I29" s="36">
        <v>-2.7195950123002498E-3</v>
      </c>
      <c r="J29" s="6"/>
      <c r="K29" s="2">
        <f t="shared" si="2"/>
        <v>-1.5976641412342753E-2</v>
      </c>
      <c r="L29" s="2">
        <f t="shared" si="1"/>
        <v>4.6286493675081549E-4</v>
      </c>
    </row>
    <row r="30" spans="2:12" ht="34.5" x14ac:dyDescent="0.25">
      <c r="B30" s="16" t="s">
        <v>76</v>
      </c>
      <c r="C30" s="17">
        <v>0.24723188864283455</v>
      </c>
      <c r="D30" s="18">
        <v>0.43143681430217928</v>
      </c>
      <c r="E30" s="19">
        <v>6322</v>
      </c>
      <c r="F30" s="20">
        <v>0</v>
      </c>
      <c r="G30" s="6"/>
      <c r="H30" s="16" t="s">
        <v>76</v>
      </c>
      <c r="I30" s="36">
        <v>2.3283709931483893E-2</v>
      </c>
      <c r="J30" s="6"/>
      <c r="K30" s="2">
        <f t="shared" si="2"/>
        <v>4.0625263699066473E-2</v>
      </c>
      <c r="L30" s="2">
        <f t="shared" si="1"/>
        <v>-1.3342569271200019E-2</v>
      </c>
    </row>
    <row r="31" spans="2:12" ht="34.5" x14ac:dyDescent="0.25">
      <c r="B31" s="16" t="s">
        <v>77</v>
      </c>
      <c r="C31" s="17">
        <v>4.0335336918696618E-2</v>
      </c>
      <c r="D31" s="18">
        <v>0.19676006020491593</v>
      </c>
      <c r="E31" s="19">
        <v>6322</v>
      </c>
      <c r="F31" s="20">
        <v>0</v>
      </c>
      <c r="G31" s="6"/>
      <c r="H31" s="16" t="s">
        <v>77</v>
      </c>
      <c r="I31" s="36">
        <v>-8.3331932454257483E-3</v>
      </c>
      <c r="J31" s="6"/>
      <c r="K31" s="2">
        <f t="shared" si="2"/>
        <v>-4.0643772318093102E-2</v>
      </c>
      <c r="L31" s="2">
        <f t="shared" si="1"/>
        <v>1.7082844801572013E-3</v>
      </c>
    </row>
    <row r="32" spans="2:12" ht="46" x14ac:dyDescent="0.25">
      <c r="B32" s="16" t="s">
        <v>78</v>
      </c>
      <c r="C32" s="17">
        <v>1.4236001265422338E-3</v>
      </c>
      <c r="D32" s="18">
        <v>3.7706741919067491E-2</v>
      </c>
      <c r="E32" s="19">
        <v>6322</v>
      </c>
      <c r="F32" s="20">
        <v>0</v>
      </c>
      <c r="G32" s="6"/>
      <c r="H32" s="16" t="s">
        <v>78</v>
      </c>
      <c r="I32" s="36">
        <v>-1.7456525794656451E-3</v>
      </c>
      <c r="J32" s="6"/>
      <c r="K32" s="2">
        <f t="shared" si="2"/>
        <v>-4.6229596605670581E-2</v>
      </c>
      <c r="L32" s="2">
        <f t="shared" si="1"/>
        <v>6.5906283771746446E-5</v>
      </c>
    </row>
    <row r="33" spans="2:12" ht="23" x14ac:dyDescent="0.25">
      <c r="B33" s="16" t="s">
        <v>79</v>
      </c>
      <c r="C33" s="17">
        <v>6.3271116735210374E-4</v>
      </c>
      <c r="D33" s="18">
        <v>2.5147780762661991E-2</v>
      </c>
      <c r="E33" s="19">
        <v>6322</v>
      </c>
      <c r="F33" s="20">
        <v>0</v>
      </c>
      <c r="G33" s="6"/>
      <c r="H33" s="16" t="s">
        <v>79</v>
      </c>
      <c r="I33" s="36">
        <v>4.9559152558938352E-4</v>
      </c>
      <c r="J33" s="6"/>
      <c r="K33" s="2">
        <f t="shared" si="2"/>
        <v>1.969469846945934E-2</v>
      </c>
      <c r="L33" s="2">
        <f t="shared" si="1"/>
        <v>-1.2468944899942598E-5</v>
      </c>
    </row>
    <row r="34" spans="2:12" ht="23" x14ac:dyDescent="0.25">
      <c r="B34" s="16" t="s">
        <v>80</v>
      </c>
      <c r="C34" s="17">
        <v>7.8456184751660857E-2</v>
      </c>
      <c r="D34" s="18">
        <v>0.26890937138357213</v>
      </c>
      <c r="E34" s="19">
        <v>6322</v>
      </c>
      <c r="F34" s="20">
        <v>0</v>
      </c>
      <c r="G34" s="6"/>
      <c r="H34" s="16" t="s">
        <v>80</v>
      </c>
      <c r="I34" s="36">
        <v>7.8017839431043789E-2</v>
      </c>
      <c r="J34" s="6"/>
      <c r="K34" s="2">
        <f t="shared" si="2"/>
        <v>0.26736464049876041</v>
      </c>
      <c r="L34" s="2">
        <f t="shared" si="1"/>
        <v>-2.2762248830653132E-2</v>
      </c>
    </row>
    <row r="35" spans="2:12" ht="23" x14ac:dyDescent="0.25">
      <c r="B35" s="16" t="s">
        <v>81</v>
      </c>
      <c r="C35" s="17">
        <v>3.6380892122745965E-3</v>
      </c>
      <c r="D35" s="18">
        <v>6.0211518675353577E-2</v>
      </c>
      <c r="E35" s="19">
        <v>6322</v>
      </c>
      <c r="F35" s="20">
        <v>0</v>
      </c>
      <c r="G35" s="6"/>
      <c r="H35" s="16" t="s">
        <v>81</v>
      </c>
      <c r="I35" s="36">
        <v>1.4916050101039214E-2</v>
      </c>
      <c r="J35" s="6"/>
      <c r="K35" s="2">
        <f t="shared" si="2"/>
        <v>0.24682626359597634</v>
      </c>
      <c r="L35" s="2">
        <f t="shared" si="1"/>
        <v>-9.0125481230472391E-4</v>
      </c>
    </row>
    <row r="36" spans="2:12" ht="23" x14ac:dyDescent="0.25">
      <c r="B36" s="16" t="s">
        <v>82</v>
      </c>
      <c r="C36" s="17">
        <v>2.6890224612464405E-3</v>
      </c>
      <c r="D36" s="18">
        <v>5.179011379052674E-2</v>
      </c>
      <c r="E36" s="19">
        <v>6322</v>
      </c>
      <c r="F36" s="20">
        <v>0</v>
      </c>
      <c r="G36" s="6"/>
      <c r="H36" s="16" t="s">
        <v>82</v>
      </c>
      <c r="I36" s="36">
        <v>1.4054669563971089E-2</v>
      </c>
      <c r="J36" s="6"/>
      <c r="K36" s="2">
        <f t="shared" si="2"/>
        <v>0.27064772049973929</v>
      </c>
      <c r="L36" s="2">
        <f t="shared" si="1"/>
        <v>-7.2974008699374575E-4</v>
      </c>
    </row>
    <row r="37" spans="2:12" ht="23" x14ac:dyDescent="0.25">
      <c r="B37" s="16" t="s">
        <v>83</v>
      </c>
      <c r="C37" s="17">
        <v>1.5817779183802598E-3</v>
      </c>
      <c r="D37" s="18">
        <v>3.9743247764762804E-2</v>
      </c>
      <c r="E37" s="19">
        <v>6322</v>
      </c>
      <c r="F37" s="20">
        <v>0</v>
      </c>
      <c r="G37" s="6"/>
      <c r="H37" s="16" t="s">
        <v>83</v>
      </c>
      <c r="I37" s="36">
        <v>5.5554361761069862E-3</v>
      </c>
      <c r="J37" s="6"/>
      <c r="K37" s="2">
        <f t="shared" si="2"/>
        <v>0.13956203938507572</v>
      </c>
      <c r="L37" s="2">
        <f t="shared" si="1"/>
        <v>-2.2110589256190709E-4</v>
      </c>
    </row>
    <row r="38" spans="2:12" ht="23" x14ac:dyDescent="0.25">
      <c r="B38" s="16" t="s">
        <v>84</v>
      </c>
      <c r="C38" s="17">
        <v>4.6346093008541603E-2</v>
      </c>
      <c r="D38" s="18">
        <v>0.21025014849088339</v>
      </c>
      <c r="E38" s="19">
        <v>6322</v>
      </c>
      <c r="F38" s="20">
        <v>0</v>
      </c>
      <c r="G38" s="6"/>
      <c r="H38" s="16" t="s">
        <v>84</v>
      </c>
      <c r="I38" s="36">
        <v>2.8844595528214469E-2</v>
      </c>
      <c r="J38" s="6"/>
      <c r="K38" s="2">
        <f t="shared" si="2"/>
        <v>0.13083349247795104</v>
      </c>
      <c r="L38" s="2">
        <f t="shared" si="1"/>
        <v>-6.3583037478917989E-3</v>
      </c>
    </row>
    <row r="39" spans="2:12" ht="23" x14ac:dyDescent="0.25">
      <c r="B39" s="16" t="s">
        <v>85</v>
      </c>
      <c r="C39" s="17">
        <v>0.84451123062322053</v>
      </c>
      <c r="D39" s="18">
        <v>0.36239865604682792</v>
      </c>
      <c r="E39" s="19">
        <v>6322</v>
      </c>
      <c r="F39" s="20">
        <v>0</v>
      </c>
      <c r="G39" s="6"/>
      <c r="H39" s="16" t="s">
        <v>85</v>
      </c>
      <c r="I39" s="36">
        <v>-8.1087107162809438E-2</v>
      </c>
      <c r="J39" s="6"/>
      <c r="K39" s="2">
        <f t="shared" si="2"/>
        <v>-3.4790787147508349E-2</v>
      </c>
      <c r="L39" s="2">
        <f t="shared" si="1"/>
        <v>0.18896033833219444</v>
      </c>
    </row>
    <row r="40" spans="2:12" ht="23" x14ac:dyDescent="0.25">
      <c r="B40" s="16" t="s">
        <v>86</v>
      </c>
      <c r="C40" s="17">
        <v>3.7962670041126224E-3</v>
      </c>
      <c r="D40" s="18">
        <v>6.1501655759125119E-2</v>
      </c>
      <c r="E40" s="19">
        <v>6322</v>
      </c>
      <c r="F40" s="20">
        <v>0</v>
      </c>
      <c r="G40" s="6"/>
      <c r="H40" s="16" t="s">
        <v>86</v>
      </c>
      <c r="I40" s="36">
        <v>-1.6218207266348174E-3</v>
      </c>
      <c r="J40" s="6"/>
      <c r="K40" s="2">
        <f t="shared" si="2"/>
        <v>-2.6270249836062153E-2</v>
      </c>
      <c r="L40" s="2">
        <f t="shared" si="1"/>
        <v>1.0010892284304409E-4</v>
      </c>
    </row>
    <row r="41" spans="2:12" ht="23" x14ac:dyDescent="0.25">
      <c r="B41" s="16" t="s">
        <v>87</v>
      </c>
      <c r="C41" s="17">
        <v>7.9088895919012967E-4</v>
      </c>
      <c r="D41" s="18">
        <v>2.8113848469181808E-2</v>
      </c>
      <c r="E41" s="19">
        <v>6322</v>
      </c>
      <c r="F41" s="20">
        <v>0</v>
      </c>
      <c r="G41" s="6"/>
      <c r="H41" s="16" t="s">
        <v>87</v>
      </c>
      <c r="I41" s="36">
        <v>-1.8335002930964985E-3</v>
      </c>
      <c r="J41" s="6"/>
      <c r="K41" s="2">
        <f t="shared" si="2"/>
        <v>-6.5165400601995008E-2</v>
      </c>
      <c r="L41" s="2">
        <f t="shared" si="1"/>
        <v>5.1579389426939211E-5</v>
      </c>
    </row>
    <row r="42" spans="2:12" ht="23" x14ac:dyDescent="0.25">
      <c r="B42" s="16" t="s">
        <v>88</v>
      </c>
      <c r="C42" s="17">
        <v>2.0563112938943372E-3</v>
      </c>
      <c r="D42" s="18">
        <v>4.5303504533831189E-2</v>
      </c>
      <c r="E42" s="19">
        <v>6322</v>
      </c>
      <c r="F42" s="20">
        <v>0</v>
      </c>
      <c r="G42" s="6"/>
      <c r="H42" s="16" t="s">
        <v>88</v>
      </c>
      <c r="I42" s="36">
        <v>-2.1405114941929764E-3</v>
      </c>
      <c r="J42" s="6"/>
      <c r="K42" s="2">
        <f t="shared" si="2"/>
        <v>-4.7151096989363789E-2</v>
      </c>
      <c r="L42" s="2">
        <f t="shared" si="1"/>
        <v>9.7157118538869752E-5</v>
      </c>
    </row>
    <row r="43" spans="2:12" ht="34.5" x14ac:dyDescent="0.25">
      <c r="B43" s="16" t="s">
        <v>89</v>
      </c>
      <c r="C43" s="17">
        <v>7.7507118000632712E-3</v>
      </c>
      <c r="D43" s="18">
        <v>8.77032208489881E-2</v>
      </c>
      <c r="E43" s="19">
        <v>6322</v>
      </c>
      <c r="F43" s="20">
        <v>0</v>
      </c>
      <c r="G43" s="6"/>
      <c r="H43" s="16" t="s">
        <v>89</v>
      </c>
      <c r="I43" s="36">
        <v>4.1400145310272482E-3</v>
      </c>
      <c r="J43" s="6"/>
      <c r="K43" s="2">
        <f t="shared" si="2"/>
        <v>4.6838946526518342E-2</v>
      </c>
      <c r="L43" s="2">
        <f t="shared" si="1"/>
        <v>-3.6587093572443789E-4</v>
      </c>
    </row>
    <row r="44" spans="2:12" ht="23" x14ac:dyDescent="0.25">
      <c r="B44" s="16" t="s">
        <v>90</v>
      </c>
      <c r="C44" s="17">
        <v>6.3271116735210374E-4</v>
      </c>
      <c r="D44" s="18">
        <v>2.5147780762660724E-2</v>
      </c>
      <c r="E44" s="19">
        <v>6322</v>
      </c>
      <c r="F44" s="20">
        <v>0</v>
      </c>
      <c r="G44" s="6"/>
      <c r="H44" s="16" t="s">
        <v>90</v>
      </c>
      <c r="I44" s="36">
        <v>1.0529806300039819E-3</v>
      </c>
      <c r="J44" s="6"/>
      <c r="K44" s="2">
        <f t="shared" si="2"/>
        <v>4.1845219159968305E-2</v>
      </c>
      <c r="L44" s="2">
        <f t="shared" si="1"/>
        <v>-2.649269968975518E-5</v>
      </c>
    </row>
    <row r="45" spans="2:12" x14ac:dyDescent="0.25">
      <c r="B45" s="16" t="s">
        <v>91</v>
      </c>
      <c r="C45" s="17">
        <v>0.14346725719708953</v>
      </c>
      <c r="D45" s="18">
        <v>0.35057644525564963</v>
      </c>
      <c r="E45" s="19">
        <v>6322</v>
      </c>
      <c r="F45" s="20">
        <v>0</v>
      </c>
      <c r="G45" s="6"/>
      <c r="H45" s="16" t="s">
        <v>91</v>
      </c>
      <c r="I45" s="36">
        <v>9.0417256088420633E-2</v>
      </c>
      <c r="J45" s="6"/>
      <c r="K45" s="2">
        <f t="shared" si="2"/>
        <v>0.22090856759544381</v>
      </c>
      <c r="L45" s="2">
        <f t="shared" si="1"/>
        <v>-3.7001675126328258E-2</v>
      </c>
    </row>
    <row r="46" spans="2:12" x14ac:dyDescent="0.25">
      <c r="B46" s="16" t="s">
        <v>92</v>
      </c>
      <c r="C46" s="17">
        <v>0.60471369819677323</v>
      </c>
      <c r="D46" s="18">
        <v>0.48895077198694847</v>
      </c>
      <c r="E46" s="19">
        <v>6322</v>
      </c>
      <c r="F46" s="20">
        <v>0</v>
      </c>
      <c r="G46" s="6"/>
      <c r="H46" s="16" t="s">
        <v>92</v>
      </c>
      <c r="I46" s="36">
        <v>2.2229924501185602E-2</v>
      </c>
      <c r="J46" s="6"/>
      <c r="K46" s="2">
        <f t="shared" si="2"/>
        <v>1.7971511957594687E-2</v>
      </c>
      <c r="L46" s="2">
        <f t="shared" si="1"/>
        <v>-2.749303329887335E-2</v>
      </c>
    </row>
    <row r="47" spans="2:12" x14ac:dyDescent="0.25">
      <c r="B47" s="16" t="s">
        <v>93</v>
      </c>
      <c r="C47" s="17">
        <v>0.231730465042708</v>
      </c>
      <c r="D47" s="18">
        <v>0.42197111475973881</v>
      </c>
      <c r="E47" s="19">
        <v>6322</v>
      </c>
      <c r="F47" s="20">
        <v>0</v>
      </c>
      <c r="G47" s="6"/>
      <c r="H47" s="16" t="s">
        <v>93</v>
      </c>
      <c r="I47" s="36">
        <v>7.9326913636545204E-2</v>
      </c>
      <c r="J47" s="6"/>
      <c r="K47" s="2">
        <f t="shared" si="2"/>
        <v>0.14442801632013674</v>
      </c>
      <c r="L47" s="2">
        <f t="shared" si="1"/>
        <v>-4.3563319725962592E-2</v>
      </c>
    </row>
    <row r="48" spans="2:12" x14ac:dyDescent="0.25">
      <c r="B48" s="16" t="s">
        <v>94</v>
      </c>
      <c r="C48" s="17">
        <v>8.8579563429294524E-3</v>
      </c>
      <c r="D48" s="18">
        <v>9.3706359938184269E-2</v>
      </c>
      <c r="E48" s="19">
        <v>6322</v>
      </c>
      <c r="F48" s="20">
        <v>0</v>
      </c>
      <c r="G48" s="6"/>
      <c r="H48" s="16" t="s">
        <v>94</v>
      </c>
      <c r="I48" s="36">
        <v>3.3684602816786813E-2</v>
      </c>
      <c r="J48" s="6"/>
      <c r="K48" s="2">
        <f t="shared" si="2"/>
        <v>0.35628559360998396</v>
      </c>
      <c r="L48" s="2">
        <f t="shared" si="1"/>
        <v>-3.1841674500732676E-3</v>
      </c>
    </row>
    <row r="49" spans="2:12" x14ac:dyDescent="0.25">
      <c r="B49" s="16" t="s">
        <v>95</v>
      </c>
      <c r="C49" s="17">
        <v>4.4922492881999371E-2</v>
      </c>
      <c r="D49" s="18">
        <v>0.20715030804239795</v>
      </c>
      <c r="E49" s="19">
        <v>6322</v>
      </c>
      <c r="F49" s="20">
        <v>0</v>
      </c>
      <c r="G49" s="6"/>
      <c r="H49" s="16" t="s">
        <v>95</v>
      </c>
      <c r="I49" s="36">
        <v>6.9004339347722723E-2</v>
      </c>
      <c r="J49" s="6"/>
      <c r="K49" s="2">
        <f t="shared" si="2"/>
        <v>0.31814817475945417</v>
      </c>
      <c r="L49" s="2">
        <f t="shared" si="1"/>
        <v>-1.4964240084744116E-2</v>
      </c>
    </row>
    <row r="50" spans="2:12" x14ac:dyDescent="0.25">
      <c r="B50" s="16" t="s">
        <v>96</v>
      </c>
      <c r="C50" s="17">
        <v>5.1407782347358433E-2</v>
      </c>
      <c r="D50" s="18">
        <v>0.22084550487914489</v>
      </c>
      <c r="E50" s="19">
        <v>6322</v>
      </c>
      <c r="F50" s="20">
        <v>0</v>
      </c>
      <c r="G50" s="6"/>
      <c r="H50" s="16" t="s">
        <v>96</v>
      </c>
      <c r="I50" s="36">
        <v>6.7811449491709766E-2</v>
      </c>
      <c r="J50" s="6"/>
      <c r="K50" s="2">
        <f t="shared" si="2"/>
        <v>0.29126883651438767</v>
      </c>
      <c r="L50" s="2">
        <f t="shared" si="1"/>
        <v>-1.5784954455090212E-2</v>
      </c>
    </row>
    <row r="51" spans="2:12" x14ac:dyDescent="0.25">
      <c r="B51" s="16" t="s">
        <v>97</v>
      </c>
      <c r="C51" s="17">
        <v>0.67779183802594112</v>
      </c>
      <c r="D51" s="18">
        <v>0.46735918976116742</v>
      </c>
      <c r="E51" s="19">
        <v>6322</v>
      </c>
      <c r="F51" s="20">
        <v>0</v>
      </c>
      <c r="G51" s="6"/>
      <c r="H51" s="16" t="s">
        <v>97</v>
      </c>
      <c r="I51" s="36">
        <v>3.7450274337943339E-2</v>
      </c>
      <c r="J51" s="6"/>
      <c r="K51" s="2">
        <f t="shared" si="2"/>
        <v>2.5819079466522152E-2</v>
      </c>
      <c r="L51" s="2">
        <f t="shared" si="1"/>
        <v>-5.4312594754073344E-2</v>
      </c>
    </row>
    <row r="52" spans="2:12" x14ac:dyDescent="0.25">
      <c r="B52" s="16" t="s">
        <v>98</v>
      </c>
      <c r="C52" s="17">
        <v>7.2287250869977851E-2</v>
      </c>
      <c r="D52" s="18">
        <v>0.25898342340373182</v>
      </c>
      <c r="E52" s="19">
        <v>6322</v>
      </c>
      <c r="F52" s="20">
        <v>0</v>
      </c>
      <c r="G52" s="6"/>
      <c r="H52" s="16" t="s">
        <v>98</v>
      </c>
      <c r="I52" s="36">
        <v>7.6321278435558818E-2</v>
      </c>
      <c r="J52" s="6"/>
      <c r="K52" s="2">
        <f t="shared" si="2"/>
        <v>0.27339287628533948</v>
      </c>
      <c r="L52" s="2">
        <f t="shared" si="1"/>
        <v>-2.1302735628712724E-2</v>
      </c>
    </row>
    <row r="53" spans="2:12" x14ac:dyDescent="0.25">
      <c r="B53" s="16" t="s">
        <v>99</v>
      </c>
      <c r="C53" s="17">
        <v>0.11578614362543499</v>
      </c>
      <c r="D53" s="18">
        <v>0.31999360826212142</v>
      </c>
      <c r="E53" s="19">
        <v>6322</v>
      </c>
      <c r="F53" s="20">
        <v>0</v>
      </c>
      <c r="G53" s="6"/>
      <c r="H53" s="16" t="s">
        <v>99</v>
      </c>
      <c r="I53" s="36">
        <v>8.6393543295734301E-2</v>
      </c>
      <c r="J53" s="6"/>
      <c r="K53" s="2">
        <f t="shared" si="2"/>
        <v>0.23872466859028421</v>
      </c>
      <c r="L53" s="2">
        <f t="shared" si="1"/>
        <v>-3.1260546942412891E-2</v>
      </c>
    </row>
    <row r="54" spans="2:12" x14ac:dyDescent="0.25">
      <c r="B54" s="16" t="s">
        <v>100</v>
      </c>
      <c r="C54" s="17">
        <v>2.9421069281872825E-2</v>
      </c>
      <c r="D54" s="18">
        <v>0.16899700447033633</v>
      </c>
      <c r="E54" s="19">
        <v>6322</v>
      </c>
      <c r="F54" s="20">
        <v>0</v>
      </c>
      <c r="G54" s="6"/>
      <c r="H54" s="16" t="s">
        <v>100</v>
      </c>
      <c r="I54" s="36">
        <v>1.6436624025861295E-3</v>
      </c>
      <c r="J54" s="6"/>
      <c r="K54" s="2">
        <f t="shared" si="2"/>
        <v>9.4398365353490846E-3</v>
      </c>
      <c r="L54" s="2">
        <f t="shared" si="1"/>
        <v>-2.8614889106501459E-4</v>
      </c>
    </row>
    <row r="55" spans="2:12" x14ac:dyDescent="0.25">
      <c r="B55" s="16" t="s">
        <v>101</v>
      </c>
      <c r="C55" s="17">
        <v>0.39149003479911421</v>
      </c>
      <c r="D55" s="18">
        <v>0.48812219311448385</v>
      </c>
      <c r="E55" s="19">
        <v>6322</v>
      </c>
      <c r="F55" s="20">
        <v>0</v>
      </c>
      <c r="G55" s="6"/>
      <c r="H55" s="16" t="s">
        <v>101</v>
      </c>
      <c r="I55" s="36">
        <v>-3.8225229527827871E-2</v>
      </c>
      <c r="J55" s="6"/>
      <c r="K55" s="2">
        <f t="shared" si="2"/>
        <v>-4.7652889825312503E-2</v>
      </c>
      <c r="L55" s="2">
        <f t="shared" si="1"/>
        <v>3.0657889866817892E-2</v>
      </c>
    </row>
    <row r="56" spans="2:12" x14ac:dyDescent="0.25">
      <c r="B56" s="16" t="s">
        <v>102</v>
      </c>
      <c r="C56" s="17">
        <v>0.2176526415691237</v>
      </c>
      <c r="D56" s="18">
        <v>0.41268257530181629</v>
      </c>
      <c r="E56" s="19">
        <v>6322</v>
      </c>
      <c r="F56" s="20">
        <v>0</v>
      </c>
      <c r="G56" s="6"/>
      <c r="H56" s="16" t="s">
        <v>102</v>
      </c>
      <c r="I56" s="36">
        <v>4.5051570111935037E-2</v>
      </c>
      <c r="J56" s="6"/>
      <c r="K56" s="2">
        <f t="shared" si="2"/>
        <v>8.5406990698501328E-2</v>
      </c>
      <c r="L56" s="2">
        <f t="shared" si="1"/>
        <v>-2.3760618520246222E-2</v>
      </c>
    </row>
    <row r="57" spans="2:12" x14ac:dyDescent="0.25">
      <c r="B57" s="16" t="s">
        <v>103</v>
      </c>
      <c r="C57" s="17">
        <v>0.93451439417905724</v>
      </c>
      <c r="D57" s="18">
        <v>0.24740032907638562</v>
      </c>
      <c r="E57" s="19">
        <v>6322</v>
      </c>
      <c r="F57" s="20">
        <v>0</v>
      </c>
      <c r="G57" s="6"/>
      <c r="H57" s="16" t="s">
        <v>103</v>
      </c>
      <c r="I57" s="36">
        <v>1.713651068019801E-2</v>
      </c>
      <c r="J57" s="6"/>
      <c r="K57" s="2">
        <f t="shared" si="2"/>
        <v>4.5359470124364367E-3</v>
      </c>
      <c r="L57" s="2">
        <f t="shared" si="1"/>
        <v>-6.4730374274092894E-2</v>
      </c>
    </row>
    <row r="58" spans="2:12" x14ac:dyDescent="0.25">
      <c r="B58" s="16" t="s">
        <v>104</v>
      </c>
      <c r="C58" s="17">
        <v>0.83676051882315727</v>
      </c>
      <c r="D58" s="18">
        <v>0.36961326039097359</v>
      </c>
      <c r="E58" s="19">
        <v>6322</v>
      </c>
      <c r="F58" s="20">
        <v>0</v>
      </c>
      <c r="G58" s="6"/>
      <c r="H58" s="16" t="s">
        <v>104</v>
      </c>
      <c r="I58" s="36">
        <v>-2.9264162972072145E-2</v>
      </c>
      <c r="J58" s="6"/>
      <c r="K58" s="2">
        <f t="shared" si="2"/>
        <v>-1.2924500532211671E-2</v>
      </c>
      <c r="L58" s="2">
        <f t="shared" si="1"/>
        <v>6.6250588968410615E-2</v>
      </c>
    </row>
    <row r="59" spans="2:12" x14ac:dyDescent="0.25">
      <c r="B59" s="16" t="s">
        <v>105</v>
      </c>
      <c r="C59" s="17">
        <v>0.57624169566592853</v>
      </c>
      <c r="D59" s="18">
        <v>0.49419210328095797</v>
      </c>
      <c r="E59" s="19">
        <v>6322</v>
      </c>
      <c r="F59" s="20">
        <v>0</v>
      </c>
      <c r="G59" s="6"/>
      <c r="H59" s="16" t="s">
        <v>105</v>
      </c>
      <c r="I59" s="36">
        <v>3.9750633787366943E-2</v>
      </c>
      <c r="J59" s="6"/>
      <c r="K59" s="2">
        <f t="shared" si="2"/>
        <v>3.4085249558030155E-2</v>
      </c>
      <c r="L59" s="2">
        <f t="shared" si="1"/>
        <v>-4.6350341224301553E-2</v>
      </c>
    </row>
    <row r="60" spans="2:12" x14ac:dyDescent="0.25">
      <c r="B60" s="16" t="s">
        <v>106</v>
      </c>
      <c r="C60" s="17">
        <v>0.37203416640303699</v>
      </c>
      <c r="D60" s="18">
        <v>0.48338566954808865</v>
      </c>
      <c r="E60" s="19">
        <v>6322</v>
      </c>
      <c r="F60" s="20">
        <v>0</v>
      </c>
      <c r="G60" s="6"/>
      <c r="H60" s="16" t="s">
        <v>106</v>
      </c>
      <c r="I60" s="36">
        <v>-3.4266169569576288E-2</v>
      </c>
      <c r="J60" s="6"/>
      <c r="K60" s="2">
        <f t="shared" si="2"/>
        <v>-4.4515146173139057E-2</v>
      </c>
      <c r="L60" s="2">
        <f t="shared" si="1"/>
        <v>2.6372701208872307E-2</v>
      </c>
    </row>
    <row r="61" spans="2:12" x14ac:dyDescent="0.25">
      <c r="B61" s="16" t="s">
        <v>107</v>
      </c>
      <c r="C61" s="17">
        <v>2.6732046820626378E-2</v>
      </c>
      <c r="D61" s="18">
        <v>0.16131199746575547</v>
      </c>
      <c r="E61" s="19">
        <v>6322</v>
      </c>
      <c r="F61" s="20">
        <v>0</v>
      </c>
      <c r="G61" s="6"/>
      <c r="H61" s="16" t="s">
        <v>107</v>
      </c>
      <c r="I61" s="36">
        <v>4.8453119071931242E-2</v>
      </c>
      <c r="J61" s="6"/>
      <c r="K61" s="2">
        <f t="shared" si="2"/>
        <v>0.29233949591570846</v>
      </c>
      <c r="L61" s="2">
        <f t="shared" si="1"/>
        <v>-8.0294774597358537E-3</v>
      </c>
    </row>
    <row r="62" spans="2:12" x14ac:dyDescent="0.25">
      <c r="B62" s="16" t="s">
        <v>108</v>
      </c>
      <c r="C62" s="17">
        <v>1.5817779183802593E-3</v>
      </c>
      <c r="D62" s="18">
        <v>3.9743247764761742E-2</v>
      </c>
      <c r="E62" s="19">
        <v>6322</v>
      </c>
      <c r="F62" s="20">
        <v>0</v>
      </c>
      <c r="G62" s="6"/>
      <c r="H62" s="16" t="s">
        <v>108</v>
      </c>
      <c r="I62" s="36">
        <v>-1.9246952035869703E-3</v>
      </c>
      <c r="J62" s="6"/>
      <c r="K62" s="2">
        <f t="shared" si="2"/>
        <v>-4.8351628799651124E-2</v>
      </c>
      <c r="L62" s="2">
        <f t="shared" si="1"/>
        <v>7.660270722378188E-5</v>
      </c>
    </row>
    <row r="63" spans="2:12" x14ac:dyDescent="0.25">
      <c r="B63" s="16" t="s">
        <v>109</v>
      </c>
      <c r="C63" s="17">
        <v>0.18680797216070863</v>
      </c>
      <c r="D63" s="18">
        <v>0.38978813015140984</v>
      </c>
      <c r="E63" s="19">
        <v>6322</v>
      </c>
      <c r="F63" s="20">
        <v>0</v>
      </c>
      <c r="G63" s="6"/>
      <c r="H63" s="16" t="s">
        <v>109</v>
      </c>
      <c r="I63" s="36">
        <v>7.4972007157348655E-2</v>
      </c>
      <c r="J63" s="6"/>
      <c r="K63" s="2">
        <f t="shared" si="2"/>
        <v>0.15640968468635577</v>
      </c>
      <c r="L63" s="2">
        <f t="shared" si="1"/>
        <v>-3.5930721185486514E-2</v>
      </c>
    </row>
    <row r="64" spans="2:12" ht="23" x14ac:dyDescent="0.25">
      <c r="B64" s="16" t="s">
        <v>110</v>
      </c>
      <c r="C64" s="17">
        <v>0.34672571970895288</v>
      </c>
      <c r="D64" s="18">
        <v>0.47596515528525951</v>
      </c>
      <c r="E64" s="19">
        <v>6322</v>
      </c>
      <c r="F64" s="20">
        <v>0</v>
      </c>
      <c r="G64" s="6"/>
      <c r="H64" s="16" t="s">
        <v>110</v>
      </c>
      <c r="I64" s="36">
        <v>-4.4595032208880912E-2</v>
      </c>
      <c r="J64" s="6"/>
      <c r="K64" s="2">
        <f t="shared" si="2"/>
        <v>-6.1207815839696575E-2</v>
      </c>
      <c r="L64" s="2">
        <f t="shared" si="1"/>
        <v>3.2486085307654934E-2</v>
      </c>
    </row>
    <row r="65" spans="2:12" ht="23" x14ac:dyDescent="0.25">
      <c r="B65" s="16" t="s">
        <v>111</v>
      </c>
      <c r="C65" s="17">
        <v>6.1372983233154065E-2</v>
      </c>
      <c r="D65" s="18">
        <v>0.24003219293971251</v>
      </c>
      <c r="E65" s="19">
        <v>6322</v>
      </c>
      <c r="F65" s="20">
        <v>0</v>
      </c>
      <c r="G65" s="6"/>
      <c r="H65" s="16" t="s">
        <v>111</v>
      </c>
      <c r="I65" s="36">
        <v>-1.7696545429696401E-2</v>
      </c>
      <c r="J65" s="6"/>
      <c r="K65" s="2">
        <f t="shared" si="2"/>
        <v>-6.9200949424008493E-2</v>
      </c>
      <c r="L65" s="2">
        <f t="shared" si="1"/>
        <v>4.5247671682701876E-3</v>
      </c>
    </row>
    <row r="66" spans="2:12" ht="23" x14ac:dyDescent="0.25">
      <c r="B66" s="16" t="s">
        <v>112</v>
      </c>
      <c r="C66" s="17">
        <v>2.9421069281872825E-2</v>
      </c>
      <c r="D66" s="18">
        <v>0.16899700447032129</v>
      </c>
      <c r="E66" s="19">
        <v>6322</v>
      </c>
      <c r="F66" s="20">
        <v>0</v>
      </c>
      <c r="G66" s="6"/>
      <c r="H66" s="16" t="s">
        <v>112</v>
      </c>
      <c r="I66" s="36">
        <v>5.7718710108377501E-2</v>
      </c>
      <c r="J66" s="6"/>
      <c r="K66" s="2">
        <f t="shared" si="2"/>
        <v>0.3314885025033491</v>
      </c>
      <c r="L66" s="2">
        <f t="shared" si="1"/>
        <v>-1.0048380291007648E-2</v>
      </c>
    </row>
    <row r="67" spans="2:12" ht="23" x14ac:dyDescent="0.25">
      <c r="B67" s="16" t="s">
        <v>113</v>
      </c>
      <c r="C67" s="17">
        <v>0.56042391648212597</v>
      </c>
      <c r="D67" s="18">
        <v>0.49637478120329592</v>
      </c>
      <c r="E67" s="19">
        <v>6322</v>
      </c>
      <c r="F67" s="20">
        <v>0</v>
      </c>
      <c r="G67" s="6"/>
      <c r="H67" s="16" t="s">
        <v>113</v>
      </c>
      <c r="I67" s="36">
        <v>3.1581313953885345E-2</v>
      </c>
      <c r="J67" s="6"/>
      <c r="K67" s="2">
        <f t="shared" si="2"/>
        <v>2.7967557631642881E-2</v>
      </c>
      <c r="L67" s="2">
        <f t="shared" si="1"/>
        <v>-3.5656371604501892E-2</v>
      </c>
    </row>
    <row r="68" spans="2:12" ht="23" x14ac:dyDescent="0.25">
      <c r="B68" s="16" t="s">
        <v>114</v>
      </c>
      <c r="C68" s="17">
        <v>1.1072445428661815E-3</v>
      </c>
      <c r="D68" s="18">
        <v>3.3259487783759714E-2</v>
      </c>
      <c r="E68" s="19">
        <v>6322</v>
      </c>
      <c r="F68" s="20">
        <v>0</v>
      </c>
      <c r="G68" s="6"/>
      <c r="H68" s="16" t="s">
        <v>114</v>
      </c>
      <c r="I68" s="36">
        <v>2.0216875832512922E-3</v>
      </c>
      <c r="J68" s="6"/>
      <c r="K68" s="2">
        <f t="shared" si="2"/>
        <v>6.0717985010383543E-2</v>
      </c>
      <c r="L68" s="2">
        <f t="shared" si="1"/>
        <v>-6.7304179742309542E-5</v>
      </c>
    </row>
    <row r="69" spans="2:12" ht="23" x14ac:dyDescent="0.25">
      <c r="B69" s="16" t="s">
        <v>115</v>
      </c>
      <c r="C69" s="17">
        <v>7.9088895919012989E-4</v>
      </c>
      <c r="D69" s="18">
        <v>2.8113848469182821E-2</v>
      </c>
      <c r="E69" s="19">
        <v>6322</v>
      </c>
      <c r="F69" s="20">
        <v>0</v>
      </c>
      <c r="G69" s="6"/>
      <c r="H69" s="16" t="s">
        <v>115</v>
      </c>
      <c r="I69" s="36">
        <v>-1.7672571391189767E-3</v>
      </c>
      <c r="J69" s="6"/>
      <c r="K69" s="2">
        <f t="shared" si="2"/>
        <v>-6.2811017740785513E-2</v>
      </c>
      <c r="L69" s="2">
        <f t="shared" si="1"/>
        <v>4.971586017158898E-5</v>
      </c>
    </row>
    <row r="70" spans="2:12" ht="34.5" x14ac:dyDescent="0.25">
      <c r="B70" s="16" t="s">
        <v>116</v>
      </c>
      <c r="C70" s="17">
        <v>0.10977538753559</v>
      </c>
      <c r="D70" s="18">
        <v>0.31263431058976254</v>
      </c>
      <c r="E70" s="19">
        <v>6322</v>
      </c>
      <c r="F70" s="20">
        <v>0</v>
      </c>
      <c r="G70" s="6"/>
      <c r="H70" s="16" t="s">
        <v>116</v>
      </c>
      <c r="I70" s="36">
        <v>-2.8666367650820663E-2</v>
      </c>
      <c r="J70" s="6"/>
      <c r="K70" s="2">
        <f t="shared" si="2"/>
        <v>-8.1627336374479748E-2</v>
      </c>
      <c r="L70" s="2">
        <f t="shared" ref="L70:L110" si="3">((0-C70)/D70)*I70</f>
        <v>1.0065631031252478E-2</v>
      </c>
    </row>
    <row r="71" spans="2:12" ht="23" x14ac:dyDescent="0.25">
      <c r="B71" s="16" t="s">
        <v>117</v>
      </c>
      <c r="C71" s="17">
        <v>3.7329958873774126E-2</v>
      </c>
      <c r="D71" s="18">
        <v>0.18958406654875087</v>
      </c>
      <c r="E71" s="19">
        <v>6322</v>
      </c>
      <c r="F71" s="20">
        <v>0</v>
      </c>
      <c r="G71" s="6"/>
      <c r="H71" s="16" t="s">
        <v>117</v>
      </c>
      <c r="I71" s="36">
        <v>-1.5987260574773433E-2</v>
      </c>
      <c r="J71" s="6"/>
      <c r="K71" s="2">
        <f t="shared" si="2"/>
        <v>-8.1180117481313915E-2</v>
      </c>
      <c r="L71" s="2">
        <f t="shared" si="3"/>
        <v>3.1479638063736585E-3</v>
      </c>
    </row>
    <row r="72" spans="2:12" ht="23" x14ac:dyDescent="0.25">
      <c r="B72" s="16" t="s">
        <v>118</v>
      </c>
      <c r="C72" s="17">
        <v>1.2654223347042075E-2</v>
      </c>
      <c r="D72" s="18">
        <v>0.11178582459049299</v>
      </c>
      <c r="E72" s="19">
        <v>6322</v>
      </c>
      <c r="F72" s="20">
        <v>0</v>
      </c>
      <c r="G72" s="6"/>
      <c r="H72" s="16" t="s">
        <v>118</v>
      </c>
      <c r="I72" s="36">
        <v>-1.0895996190654554E-2</v>
      </c>
      <c r="J72" s="6"/>
      <c r="K72" s="2">
        <f t="shared" si="2"/>
        <v>-9.6238640817651891E-2</v>
      </c>
      <c r="L72" s="2">
        <f t="shared" si="3"/>
        <v>1.2334333972143785E-3</v>
      </c>
    </row>
    <row r="73" spans="2:12" ht="34.5" x14ac:dyDescent="0.25">
      <c r="B73" s="16" t="s">
        <v>119</v>
      </c>
      <c r="C73" s="17">
        <v>1.1863334387851946E-2</v>
      </c>
      <c r="D73" s="18">
        <v>0.10827950051926839</v>
      </c>
      <c r="E73" s="19">
        <v>6322</v>
      </c>
      <c r="F73" s="20">
        <v>0</v>
      </c>
      <c r="G73" s="6"/>
      <c r="H73" s="16" t="s">
        <v>119</v>
      </c>
      <c r="I73" s="36">
        <v>-6.9943573131974529E-3</v>
      </c>
      <c r="J73" s="6"/>
      <c r="K73" s="2">
        <f t="shared" si="2"/>
        <v>-6.382908011598179E-2</v>
      </c>
      <c r="L73" s="2">
        <f t="shared" si="3"/>
        <v>7.6631679345263873E-4</v>
      </c>
    </row>
    <row r="74" spans="2:12" ht="23" x14ac:dyDescent="0.25">
      <c r="B74" s="16" t="s">
        <v>120</v>
      </c>
      <c r="C74" s="17">
        <v>0.79247073710851001</v>
      </c>
      <c r="D74" s="18">
        <v>0.40556982889218285</v>
      </c>
      <c r="E74" s="19">
        <v>6322</v>
      </c>
      <c r="F74" s="20">
        <v>0</v>
      </c>
      <c r="G74" s="6"/>
      <c r="H74" s="16" t="s">
        <v>120</v>
      </c>
      <c r="I74" s="36">
        <v>3.6174060148290263E-2</v>
      </c>
      <c r="J74" s="6"/>
      <c r="K74" s="2">
        <f t="shared" si="2"/>
        <v>1.8510193568572423E-2</v>
      </c>
      <c r="L74" s="2">
        <f t="shared" si="3"/>
        <v>-7.0682980014137101E-2</v>
      </c>
    </row>
    <row r="75" spans="2:12" ht="23" x14ac:dyDescent="0.25">
      <c r="B75" s="16" t="s">
        <v>121</v>
      </c>
      <c r="C75" s="17">
        <v>2.9104713698196772E-2</v>
      </c>
      <c r="D75" s="18">
        <v>0.16811335394690222</v>
      </c>
      <c r="E75" s="19">
        <v>6322</v>
      </c>
      <c r="F75" s="20">
        <v>0</v>
      </c>
      <c r="G75" s="6"/>
      <c r="H75" s="16" t="s">
        <v>121</v>
      </c>
      <c r="I75" s="36">
        <v>-1.1569218292369888E-2</v>
      </c>
      <c r="J75" s="6"/>
      <c r="K75" s="2">
        <f t="shared" si="2"/>
        <v>-6.6815034276255361E-2</v>
      </c>
      <c r="L75" s="2">
        <f t="shared" si="3"/>
        <v>2.0029270620448006E-3</v>
      </c>
    </row>
    <row r="76" spans="2:12" ht="23" x14ac:dyDescent="0.25">
      <c r="B76" s="16" t="s">
        <v>122</v>
      </c>
      <c r="C76" s="17">
        <v>5.2198671306548563E-3</v>
      </c>
      <c r="D76" s="18">
        <v>7.206553687386319E-2</v>
      </c>
      <c r="E76" s="19">
        <v>6322</v>
      </c>
      <c r="F76" s="20">
        <v>0</v>
      </c>
      <c r="G76" s="6"/>
      <c r="H76" s="16" t="s">
        <v>122</v>
      </c>
      <c r="I76" s="36">
        <v>1.8128126540681154E-2</v>
      </c>
      <c r="J76" s="6"/>
      <c r="K76" s="2">
        <f t="shared" si="2"/>
        <v>0.25023750479199597</v>
      </c>
      <c r="L76" s="2">
        <f t="shared" si="3"/>
        <v>-1.3130605276094557E-3</v>
      </c>
    </row>
    <row r="77" spans="2:12" ht="34.5" x14ac:dyDescent="0.25">
      <c r="B77" s="16" t="s">
        <v>123</v>
      </c>
      <c r="C77" s="17">
        <v>5.6311293894337235E-2</v>
      </c>
      <c r="D77" s="18">
        <v>0.23054010285514231</v>
      </c>
      <c r="E77" s="19">
        <v>6322</v>
      </c>
      <c r="F77" s="20">
        <v>0</v>
      </c>
      <c r="G77" s="6"/>
      <c r="H77" s="16" t="s">
        <v>123</v>
      </c>
      <c r="I77" s="36">
        <v>-1.3221572290575266E-2</v>
      </c>
      <c r="J77" s="6"/>
      <c r="K77" s="2">
        <f t="shared" si="2"/>
        <v>-5.4120945957134813E-2</v>
      </c>
      <c r="L77" s="2">
        <f t="shared" si="3"/>
        <v>3.2294764935869914E-3</v>
      </c>
    </row>
    <row r="78" spans="2:12" ht="34.5" x14ac:dyDescent="0.25">
      <c r="B78" s="16" t="s">
        <v>124</v>
      </c>
      <c r="C78" s="17">
        <v>3.3217336285985455E-3</v>
      </c>
      <c r="D78" s="18">
        <v>5.7543231368396716E-2</v>
      </c>
      <c r="E78" s="19">
        <v>6322</v>
      </c>
      <c r="F78" s="20">
        <v>0</v>
      </c>
      <c r="G78" s="6"/>
      <c r="H78" s="16" t="s">
        <v>124</v>
      </c>
      <c r="I78" s="36">
        <v>-3.2154719004951001E-3</v>
      </c>
      <c r="J78" s="6"/>
      <c r="K78" s="2">
        <f t="shared" si="2"/>
        <v>-5.5693621702161016E-2</v>
      </c>
      <c r="L78" s="2">
        <f t="shared" si="3"/>
        <v>1.8561594282580251E-4</v>
      </c>
    </row>
    <row r="79" spans="2:12" ht="23" x14ac:dyDescent="0.25">
      <c r="B79" s="16" t="s">
        <v>125</v>
      </c>
      <c r="C79" s="17">
        <v>0.58067067383739324</v>
      </c>
      <c r="D79" s="18">
        <v>0.49348836211307257</v>
      </c>
      <c r="E79" s="19">
        <v>6322</v>
      </c>
      <c r="F79" s="20">
        <v>0</v>
      </c>
      <c r="G79" s="6"/>
      <c r="H79" s="16" t="s">
        <v>125</v>
      </c>
      <c r="I79" s="36">
        <v>-5.6271480831030445E-2</v>
      </c>
      <c r="J79" s="6"/>
      <c r="K79" s="2">
        <f t="shared" si="2"/>
        <v>-4.7815275801056163E-2</v>
      </c>
      <c r="L79" s="2">
        <f t="shared" si="3"/>
        <v>6.6212703683771093E-2</v>
      </c>
    </row>
    <row r="80" spans="2:12" ht="34.5" x14ac:dyDescent="0.25">
      <c r="B80" s="16" t="s">
        <v>126</v>
      </c>
      <c r="C80" s="17">
        <v>2.9895602657386902E-2</v>
      </c>
      <c r="D80" s="18">
        <v>0.17031278218138876</v>
      </c>
      <c r="E80" s="19">
        <v>6322</v>
      </c>
      <c r="F80" s="20">
        <v>0</v>
      </c>
      <c r="G80" s="6"/>
      <c r="H80" s="16" t="s">
        <v>126</v>
      </c>
      <c r="I80" s="36">
        <v>-1.268610696246803E-2</v>
      </c>
      <c r="J80" s="6"/>
      <c r="K80" s="2">
        <f t="shared" si="2"/>
        <v>-7.2260273080042667E-2</v>
      </c>
      <c r="L80" s="2">
        <f t="shared" si="3"/>
        <v>2.2268370474691117E-3</v>
      </c>
    </row>
    <row r="81" spans="2:12" ht="46" x14ac:dyDescent="0.25">
      <c r="B81" s="16" t="s">
        <v>127</v>
      </c>
      <c r="C81" s="17">
        <v>1.6925023726668775E-2</v>
      </c>
      <c r="D81" s="18">
        <v>0.12900077351211015</v>
      </c>
      <c r="E81" s="19">
        <v>6322</v>
      </c>
      <c r="F81" s="20">
        <v>0</v>
      </c>
      <c r="G81" s="6"/>
      <c r="H81" s="16" t="s">
        <v>127</v>
      </c>
      <c r="I81" s="36">
        <v>-6.4787401233643268E-3</v>
      </c>
      <c r="J81" s="6"/>
      <c r="K81" s="2">
        <f t="shared" si="2"/>
        <v>-4.9372473665512999E-2</v>
      </c>
      <c r="L81" s="2">
        <f t="shared" si="3"/>
        <v>8.5001684347705403E-4</v>
      </c>
    </row>
    <row r="82" spans="2:12" ht="34.5" x14ac:dyDescent="0.25">
      <c r="B82" s="16" t="s">
        <v>128</v>
      </c>
      <c r="C82" s="17">
        <v>0.18522619424232839</v>
      </c>
      <c r="D82" s="18">
        <v>0.38851168164497218</v>
      </c>
      <c r="E82" s="19">
        <v>6322</v>
      </c>
      <c r="F82" s="20">
        <v>0</v>
      </c>
      <c r="G82" s="6"/>
      <c r="H82" s="16" t="s">
        <v>128</v>
      </c>
      <c r="I82" s="36">
        <v>5.6002338090323588E-2</v>
      </c>
      <c r="J82" s="6"/>
      <c r="K82" s="2">
        <f t="shared" ref="K82:K110" si="4">((1-C82)/D82)*I82</f>
        <v>0.1174462449725706</v>
      </c>
      <c r="L82" s="2">
        <f t="shared" si="3"/>
        <v>-2.6699583161110502E-2</v>
      </c>
    </row>
    <row r="83" spans="2:12" ht="34.5" x14ac:dyDescent="0.25">
      <c r="B83" s="16" t="s">
        <v>129</v>
      </c>
      <c r="C83" s="17">
        <v>5.3780449224928835E-3</v>
      </c>
      <c r="D83" s="18">
        <v>7.3143474086193622E-2</v>
      </c>
      <c r="E83" s="19">
        <v>6322</v>
      </c>
      <c r="F83" s="20">
        <v>0</v>
      </c>
      <c r="G83" s="6"/>
      <c r="H83" s="16" t="s">
        <v>129</v>
      </c>
      <c r="I83" s="36">
        <v>5.8695611027728524E-3</v>
      </c>
      <c r="J83" s="6"/>
      <c r="K83" s="2">
        <f t="shared" si="4"/>
        <v>7.9815655633299884E-2</v>
      </c>
      <c r="L83" s="2">
        <f t="shared" si="3"/>
        <v>-4.315732015795478E-4</v>
      </c>
    </row>
    <row r="84" spans="2:12" ht="34.5" x14ac:dyDescent="0.25">
      <c r="B84" s="16" t="s">
        <v>130</v>
      </c>
      <c r="C84" s="17">
        <v>0.11278076558051249</v>
      </c>
      <c r="D84" s="18">
        <v>0.31634963959107759</v>
      </c>
      <c r="E84" s="19">
        <v>6322</v>
      </c>
      <c r="F84" s="20">
        <v>0</v>
      </c>
      <c r="G84" s="6"/>
      <c r="H84" s="16" t="s">
        <v>130</v>
      </c>
      <c r="I84" s="36">
        <v>3.378866785306843E-2</v>
      </c>
      <c r="J84" s="6"/>
      <c r="K84" s="2">
        <f t="shared" si="4"/>
        <v>9.4762099502955222E-2</v>
      </c>
      <c r="L84" s="2">
        <f t="shared" si="3"/>
        <v>-1.2045886422821729E-2</v>
      </c>
    </row>
    <row r="85" spans="2:12" ht="34.5" x14ac:dyDescent="0.25">
      <c r="B85" s="16" t="s">
        <v>131</v>
      </c>
      <c r="C85" s="17">
        <v>5.3780449224928835E-3</v>
      </c>
      <c r="D85" s="18">
        <v>7.3143474086194427E-2</v>
      </c>
      <c r="E85" s="19">
        <v>6322</v>
      </c>
      <c r="F85" s="20">
        <v>0</v>
      </c>
      <c r="G85" s="6"/>
      <c r="H85" s="16" t="s">
        <v>131</v>
      </c>
      <c r="I85" s="36">
        <v>1.5899170963113333E-2</v>
      </c>
      <c r="J85" s="6"/>
      <c r="K85" s="2">
        <f t="shared" si="4"/>
        <v>0.21620062083471764</v>
      </c>
      <c r="L85" s="2">
        <f t="shared" si="3"/>
        <v>-1.1690237131648221E-3</v>
      </c>
    </row>
    <row r="86" spans="2:12" ht="23" x14ac:dyDescent="0.25">
      <c r="B86" s="16" t="s">
        <v>132</v>
      </c>
      <c r="C86" s="17">
        <v>3.4799114204365706E-3</v>
      </c>
      <c r="D86" s="18">
        <v>5.8892701185518787E-2</v>
      </c>
      <c r="E86" s="19">
        <v>6322</v>
      </c>
      <c r="F86" s="20">
        <v>0</v>
      </c>
      <c r="G86" s="6"/>
      <c r="H86" s="16" t="s">
        <v>132</v>
      </c>
      <c r="I86" s="36">
        <v>-7.3261914073811745E-4</v>
      </c>
      <c r="J86" s="6"/>
      <c r="K86" s="2">
        <f t="shared" si="4"/>
        <v>-1.2396607327003544E-2</v>
      </c>
      <c r="L86" s="2">
        <f t="shared" si="3"/>
        <v>4.3289739872075863E-5</v>
      </c>
    </row>
    <row r="87" spans="2:12" ht="23" x14ac:dyDescent="0.25">
      <c r="B87" s="16" t="s">
        <v>133</v>
      </c>
      <c r="C87" s="21">
        <v>2.3664763717094832</v>
      </c>
      <c r="D87" s="22">
        <v>1.2283932694858763</v>
      </c>
      <c r="E87" s="19">
        <v>6322</v>
      </c>
      <c r="F87" s="20">
        <v>16</v>
      </c>
      <c r="G87" s="6"/>
      <c r="H87" s="16" t="s">
        <v>133</v>
      </c>
      <c r="I87" s="36">
        <v>-1.7094019199597705E-2</v>
      </c>
      <c r="J87" s="6"/>
      <c r="K87" s="2">
        <f t="shared" si="4"/>
        <v>1.9015549754334671E-2</v>
      </c>
      <c r="L87" s="2">
        <f t="shared" si="3"/>
        <v>3.2931304280368598E-2</v>
      </c>
    </row>
    <row r="88" spans="2:12" x14ac:dyDescent="0.25">
      <c r="B88" s="16" t="s">
        <v>134</v>
      </c>
      <c r="C88" s="23">
        <v>0.28740904776969317</v>
      </c>
      <c r="D88" s="24">
        <v>0.45258975659123685</v>
      </c>
      <c r="E88" s="19">
        <v>6322</v>
      </c>
      <c r="F88" s="20">
        <v>0</v>
      </c>
      <c r="G88" s="6"/>
      <c r="H88" s="16" t="s">
        <v>134</v>
      </c>
      <c r="I88" s="36">
        <v>-3.4852256875437554E-2</v>
      </c>
      <c r="J88" s="6"/>
      <c r="K88" s="2">
        <f t="shared" si="4"/>
        <v>-5.4873983674079856E-2</v>
      </c>
      <c r="L88" s="2">
        <f t="shared" si="3"/>
        <v>2.2132303737137204E-2</v>
      </c>
    </row>
    <row r="89" spans="2:12" x14ac:dyDescent="0.25">
      <c r="B89" s="16" t="s">
        <v>135</v>
      </c>
      <c r="C89" s="23">
        <v>7.5608984498576393E-2</v>
      </c>
      <c r="D89" s="24">
        <v>0.2643923658409264</v>
      </c>
      <c r="E89" s="19">
        <v>6322</v>
      </c>
      <c r="F89" s="20">
        <v>0</v>
      </c>
      <c r="G89" s="6"/>
      <c r="H89" s="16" t="s">
        <v>135</v>
      </c>
      <c r="I89" s="36">
        <v>-1.3624631947574824E-2</v>
      </c>
      <c r="J89" s="6"/>
      <c r="K89" s="2">
        <f t="shared" si="4"/>
        <v>-4.7635593871229231E-2</v>
      </c>
      <c r="L89" s="2">
        <f t="shared" si="3"/>
        <v>3.89627205175352E-3</v>
      </c>
    </row>
    <row r="90" spans="2:12" x14ac:dyDescent="0.25">
      <c r="B90" s="16" t="s">
        <v>136</v>
      </c>
      <c r="C90" s="23">
        <v>7.8930718127174934E-2</v>
      </c>
      <c r="D90" s="24">
        <v>0.26965192621641548</v>
      </c>
      <c r="E90" s="19">
        <v>6322</v>
      </c>
      <c r="F90" s="20">
        <v>0</v>
      </c>
      <c r="G90" s="6"/>
      <c r="H90" s="16" t="s">
        <v>136</v>
      </c>
      <c r="I90" s="36">
        <v>-1.2994208031879076E-2</v>
      </c>
      <c r="J90" s="6"/>
      <c r="K90" s="2">
        <f t="shared" si="4"/>
        <v>-4.4385241479133003E-2</v>
      </c>
      <c r="L90" s="2">
        <f t="shared" si="3"/>
        <v>3.8035781380881613E-3</v>
      </c>
    </row>
    <row r="91" spans="2:12" x14ac:dyDescent="0.25">
      <c r="B91" s="16" t="s">
        <v>137</v>
      </c>
      <c r="C91" s="23">
        <v>0.37772856690920592</v>
      </c>
      <c r="D91" s="24">
        <v>0.48485758958052627</v>
      </c>
      <c r="E91" s="19">
        <v>6322</v>
      </c>
      <c r="F91" s="20">
        <v>0</v>
      </c>
      <c r="G91" s="6"/>
      <c r="H91" s="16" t="s">
        <v>137</v>
      </c>
      <c r="I91" s="36">
        <v>-2.8956945930599321E-2</v>
      </c>
      <c r="J91" s="6"/>
      <c r="K91" s="2">
        <f t="shared" si="4"/>
        <v>-3.7163655121405556E-2</v>
      </c>
      <c r="L91" s="2">
        <f t="shared" si="3"/>
        <v>2.2558924359409368E-2</v>
      </c>
    </row>
    <row r="92" spans="2:12" x14ac:dyDescent="0.25">
      <c r="B92" s="16" t="s">
        <v>138</v>
      </c>
      <c r="C92" s="23">
        <v>0.25988611198987666</v>
      </c>
      <c r="D92" s="24">
        <v>0.43860660090341769</v>
      </c>
      <c r="E92" s="19">
        <v>6322</v>
      </c>
      <c r="F92" s="20">
        <v>0</v>
      </c>
      <c r="G92" s="6"/>
      <c r="H92" s="16" t="s">
        <v>138</v>
      </c>
      <c r="I92" s="36">
        <v>-2.8344602068672946E-2</v>
      </c>
      <c r="J92" s="6"/>
      <c r="K92" s="2">
        <f t="shared" si="4"/>
        <v>-4.7829270234272601E-2</v>
      </c>
      <c r="L92" s="2">
        <f t="shared" si="3"/>
        <v>1.6794932890555652E-2</v>
      </c>
    </row>
    <row r="93" spans="2:12" x14ac:dyDescent="0.25">
      <c r="B93" s="16" t="s">
        <v>139</v>
      </c>
      <c r="C93" s="23">
        <v>5.7576716229041446E-2</v>
      </c>
      <c r="D93" s="24">
        <v>0.23295970106705235</v>
      </c>
      <c r="E93" s="19">
        <v>6322</v>
      </c>
      <c r="F93" s="20">
        <v>0</v>
      </c>
      <c r="G93" s="6"/>
      <c r="H93" s="16" t="s">
        <v>139</v>
      </c>
      <c r="I93" s="36">
        <v>-1.3234135787687965E-2</v>
      </c>
      <c r="J93" s="6"/>
      <c r="K93" s="2">
        <f t="shared" si="4"/>
        <v>-5.3537833581413362E-2</v>
      </c>
      <c r="L93" s="2">
        <f t="shared" si="3"/>
        <v>3.2708579093042069E-3</v>
      </c>
    </row>
    <row r="94" spans="2:12" ht="23" x14ac:dyDescent="0.25">
      <c r="B94" s="16" t="s">
        <v>140</v>
      </c>
      <c r="C94" s="23">
        <v>0.42628914900347992</v>
      </c>
      <c r="D94" s="24">
        <v>0.49457598161219934</v>
      </c>
      <c r="E94" s="19">
        <v>6322</v>
      </c>
      <c r="F94" s="20">
        <v>0</v>
      </c>
      <c r="G94" s="6"/>
      <c r="H94" s="16" t="s">
        <v>140</v>
      </c>
      <c r="I94" s="36">
        <v>-4.7009436989490547E-2</v>
      </c>
      <c r="J94" s="6"/>
      <c r="K94" s="2">
        <f t="shared" si="4"/>
        <v>-5.4531204714375205E-2</v>
      </c>
      <c r="L94" s="2">
        <f t="shared" si="3"/>
        <v>4.0518774939410307E-2</v>
      </c>
    </row>
    <row r="95" spans="2:12" ht="23" x14ac:dyDescent="0.25">
      <c r="B95" s="16" t="s">
        <v>141</v>
      </c>
      <c r="C95" s="23">
        <v>1.091426763682379E-2</v>
      </c>
      <c r="D95" s="24">
        <v>0.10390791221718851</v>
      </c>
      <c r="E95" s="19">
        <v>6322</v>
      </c>
      <c r="F95" s="20">
        <v>0</v>
      </c>
      <c r="G95" s="6"/>
      <c r="H95" s="16" t="s">
        <v>141</v>
      </c>
      <c r="I95" s="36">
        <v>-4.7570936109067622E-3</v>
      </c>
      <c r="J95" s="6"/>
      <c r="K95" s="2">
        <f t="shared" si="4"/>
        <v>-4.5282147602284016E-2</v>
      </c>
      <c r="L95" s="2">
        <f t="shared" si="3"/>
        <v>4.9967506549777668E-4</v>
      </c>
    </row>
    <row r="96" spans="2:12" ht="23" x14ac:dyDescent="0.25">
      <c r="B96" s="16" t="s">
        <v>142</v>
      </c>
      <c r="C96" s="23">
        <v>2.5308446694084158E-3</v>
      </c>
      <c r="D96" s="24">
        <v>5.0247774757739574E-2</v>
      </c>
      <c r="E96" s="19">
        <v>6322</v>
      </c>
      <c r="F96" s="20">
        <v>0</v>
      </c>
      <c r="G96" s="6"/>
      <c r="H96" s="16" t="s">
        <v>142</v>
      </c>
      <c r="I96" s="36">
        <v>-3.6381359458801457E-3</v>
      </c>
      <c r="J96" s="6"/>
      <c r="K96" s="2">
        <f t="shared" si="4"/>
        <v>-7.2220678555640405E-2</v>
      </c>
      <c r="L96" s="2">
        <f t="shared" si="3"/>
        <v>1.8324307911358182E-4</v>
      </c>
    </row>
    <row r="97" spans="2:12" x14ac:dyDescent="0.25">
      <c r="B97" s="16" t="s">
        <v>143</v>
      </c>
      <c r="C97" s="23">
        <v>0.26684593483074975</v>
      </c>
      <c r="D97" s="24">
        <v>0.44234616824897127</v>
      </c>
      <c r="E97" s="19">
        <v>6322</v>
      </c>
      <c r="F97" s="20">
        <v>0</v>
      </c>
      <c r="G97" s="6"/>
      <c r="H97" s="16" t="s">
        <v>143</v>
      </c>
      <c r="I97" s="36">
        <v>-2.9862064995294601E-2</v>
      </c>
      <c r="J97" s="6"/>
      <c r="K97" s="2">
        <f t="shared" si="4"/>
        <v>-4.9494029602006218E-2</v>
      </c>
      <c r="L97" s="2">
        <f t="shared" si="3"/>
        <v>1.801433180983484E-2</v>
      </c>
    </row>
    <row r="98" spans="2:12" x14ac:dyDescent="0.25">
      <c r="B98" s="16" t="s">
        <v>144</v>
      </c>
      <c r="C98" s="23">
        <v>0.15105979120531476</v>
      </c>
      <c r="D98" s="24">
        <v>0.35813547538750851</v>
      </c>
      <c r="E98" s="19">
        <v>6322</v>
      </c>
      <c r="F98" s="20">
        <v>0</v>
      </c>
      <c r="G98" s="6"/>
      <c r="H98" s="16" t="s">
        <v>144</v>
      </c>
      <c r="I98" s="36">
        <v>-2.1938980394697556E-2</v>
      </c>
      <c r="J98" s="6"/>
      <c r="K98" s="2">
        <f t="shared" si="4"/>
        <v>-5.2005131792276699E-2</v>
      </c>
      <c r="L98" s="2">
        <f t="shared" si="3"/>
        <v>9.2537545857321116E-3</v>
      </c>
    </row>
    <row r="99" spans="2:12" x14ac:dyDescent="0.25">
      <c r="B99" s="16" t="s">
        <v>145</v>
      </c>
      <c r="C99" s="23">
        <v>0.12796583359696298</v>
      </c>
      <c r="D99" s="24">
        <v>0.33407818392202193</v>
      </c>
      <c r="E99" s="19">
        <v>6322</v>
      </c>
      <c r="F99" s="20">
        <v>0</v>
      </c>
      <c r="G99" s="6"/>
      <c r="H99" s="16" t="s">
        <v>145</v>
      </c>
      <c r="I99" s="36">
        <v>-1.8816286481226692E-2</v>
      </c>
      <c r="J99" s="6"/>
      <c r="K99" s="2">
        <f t="shared" si="4"/>
        <v>-4.9115582777135756E-2</v>
      </c>
      <c r="L99" s="2">
        <f t="shared" si="3"/>
        <v>7.2074200012158226E-3</v>
      </c>
    </row>
    <row r="100" spans="2:12" x14ac:dyDescent="0.25">
      <c r="B100" s="16" t="s">
        <v>146</v>
      </c>
      <c r="C100" s="23">
        <v>0.22350521986713065</v>
      </c>
      <c r="D100" s="24">
        <v>0.41662704275971552</v>
      </c>
      <c r="E100" s="19">
        <v>6322</v>
      </c>
      <c r="F100" s="20">
        <v>0</v>
      </c>
      <c r="G100" s="6"/>
      <c r="H100" s="16" t="s">
        <v>146</v>
      </c>
      <c r="I100" s="36">
        <v>-2.4193423698336089E-2</v>
      </c>
      <c r="J100" s="6"/>
      <c r="K100" s="2">
        <f t="shared" si="4"/>
        <v>-4.5090849338206458E-2</v>
      </c>
      <c r="L100" s="2">
        <f t="shared" si="3"/>
        <v>1.2978889817658532E-2</v>
      </c>
    </row>
    <row r="101" spans="2:12" x14ac:dyDescent="0.25">
      <c r="B101" s="16" t="s">
        <v>147</v>
      </c>
      <c r="C101" s="23">
        <v>0.13476747864599811</v>
      </c>
      <c r="D101" s="24">
        <v>0.34150205360619817</v>
      </c>
      <c r="E101" s="19">
        <v>6322</v>
      </c>
      <c r="F101" s="20">
        <v>0</v>
      </c>
      <c r="G101" s="6"/>
      <c r="H101" s="16" t="s">
        <v>147</v>
      </c>
      <c r="I101" s="36">
        <v>-1.742206712269314E-2</v>
      </c>
      <c r="J101" s="6"/>
      <c r="K101" s="2">
        <f t="shared" si="4"/>
        <v>-4.4140698143938936E-2</v>
      </c>
      <c r="L101" s="2">
        <f t="shared" si="3"/>
        <v>6.8752970417981672E-3</v>
      </c>
    </row>
    <row r="102" spans="2:12" x14ac:dyDescent="0.25">
      <c r="B102" s="16" t="s">
        <v>148</v>
      </c>
      <c r="C102" s="23">
        <v>0.11784245491932932</v>
      </c>
      <c r="D102" s="24">
        <v>0.32244698294180291</v>
      </c>
      <c r="E102" s="19">
        <v>6322</v>
      </c>
      <c r="F102" s="20">
        <v>0</v>
      </c>
      <c r="G102" s="6"/>
      <c r="H102" s="16" t="s">
        <v>148</v>
      </c>
      <c r="I102" s="36">
        <v>-1.7154112879194671E-2</v>
      </c>
      <c r="J102" s="6"/>
      <c r="K102" s="2">
        <f t="shared" si="4"/>
        <v>-4.6930599156135733E-2</v>
      </c>
      <c r="L102" s="2">
        <f t="shared" si="3"/>
        <v>6.2691942570057583E-3</v>
      </c>
    </row>
    <row r="103" spans="2:12" ht="23" x14ac:dyDescent="0.25">
      <c r="B103" s="16" t="s">
        <v>149</v>
      </c>
      <c r="C103" s="23">
        <v>0.26115153432458083</v>
      </c>
      <c r="D103" s="24">
        <v>0.43929709298034658</v>
      </c>
      <c r="E103" s="19">
        <v>6322</v>
      </c>
      <c r="F103" s="20">
        <v>0</v>
      </c>
      <c r="G103" s="6"/>
      <c r="H103" s="16" t="s">
        <v>149</v>
      </c>
      <c r="I103" s="36">
        <v>-1.5382359315979499E-2</v>
      </c>
      <c r="J103" s="6"/>
      <c r="K103" s="2">
        <f t="shared" si="4"/>
        <v>-2.5871404024036884E-2</v>
      </c>
      <c r="L103" s="2">
        <f t="shared" si="3"/>
        <v>9.1444418847537786E-3</v>
      </c>
    </row>
    <row r="104" spans="2:12" ht="23" x14ac:dyDescent="0.25">
      <c r="B104" s="16" t="s">
        <v>150</v>
      </c>
      <c r="C104" s="23">
        <v>0.32141727301486872</v>
      </c>
      <c r="D104" s="24">
        <v>0.4670575071182454</v>
      </c>
      <c r="E104" s="19">
        <v>6322</v>
      </c>
      <c r="F104" s="20">
        <v>0</v>
      </c>
      <c r="G104" s="6"/>
      <c r="H104" s="16" t="s">
        <v>150</v>
      </c>
      <c r="I104" s="36">
        <v>-2.8968080442199094E-2</v>
      </c>
      <c r="J104" s="6"/>
      <c r="K104" s="2">
        <f t="shared" si="4"/>
        <v>-4.208740620245606E-2</v>
      </c>
      <c r="L104" s="2">
        <f t="shared" si="3"/>
        <v>1.9935107087037468E-2</v>
      </c>
    </row>
    <row r="105" spans="2:12" ht="23" x14ac:dyDescent="0.25">
      <c r="B105" s="16" t="s">
        <v>151</v>
      </c>
      <c r="C105" s="23">
        <v>8.7946852261942418E-2</v>
      </c>
      <c r="D105" s="24">
        <v>0.28323999229562508</v>
      </c>
      <c r="E105" s="19">
        <v>6322</v>
      </c>
      <c r="F105" s="20">
        <v>0</v>
      </c>
      <c r="G105" s="6"/>
      <c r="H105" s="16" t="s">
        <v>151</v>
      </c>
      <c r="I105" s="36">
        <v>-1.1065053972035504E-2</v>
      </c>
      <c r="J105" s="6"/>
      <c r="K105" s="2">
        <f t="shared" si="4"/>
        <v>-3.5630269663873164E-2</v>
      </c>
      <c r="L105" s="2">
        <f t="shared" si="3"/>
        <v>3.4357318649173561E-3</v>
      </c>
    </row>
    <row r="106" spans="2:12" x14ac:dyDescent="0.25">
      <c r="B106" s="16" t="s">
        <v>152</v>
      </c>
      <c r="C106" s="23">
        <v>0.10882632078456185</v>
      </c>
      <c r="D106" s="24">
        <v>0.31144581502553137</v>
      </c>
      <c r="E106" s="19">
        <v>6322</v>
      </c>
      <c r="F106" s="20">
        <v>0</v>
      </c>
      <c r="G106" s="6"/>
      <c r="H106" s="16" t="s">
        <v>152</v>
      </c>
      <c r="I106" s="36">
        <v>-1.9691839605147088E-2</v>
      </c>
      <c r="J106" s="6"/>
      <c r="K106" s="2">
        <f t="shared" si="4"/>
        <v>-5.63463957606899E-2</v>
      </c>
      <c r="L106" s="2">
        <f t="shared" si="3"/>
        <v>6.8807810229596462E-3</v>
      </c>
    </row>
    <row r="107" spans="2:12" x14ac:dyDescent="0.25">
      <c r="B107" s="16" t="s">
        <v>153</v>
      </c>
      <c r="C107" s="23">
        <v>3.163555836760519E-2</v>
      </c>
      <c r="D107" s="24">
        <v>0.17504169879792306</v>
      </c>
      <c r="E107" s="19">
        <v>6322</v>
      </c>
      <c r="F107" s="20">
        <v>0</v>
      </c>
      <c r="G107" s="6"/>
      <c r="H107" s="16" t="s">
        <v>153</v>
      </c>
      <c r="I107" s="36">
        <v>-8.2679513028134869E-3</v>
      </c>
      <c r="J107" s="6"/>
      <c r="K107" s="2">
        <f t="shared" si="4"/>
        <v>-4.5739901416495005E-2</v>
      </c>
      <c r="L107" s="2">
        <f t="shared" si="3"/>
        <v>1.4942796934496901E-3</v>
      </c>
    </row>
    <row r="108" spans="2:12" x14ac:dyDescent="0.25">
      <c r="B108" s="16" t="s">
        <v>154</v>
      </c>
      <c r="C108" s="23">
        <v>1.6608668142992725E-2</v>
      </c>
      <c r="D108" s="24">
        <v>0.12781003162377694</v>
      </c>
      <c r="E108" s="19">
        <v>6322</v>
      </c>
      <c r="F108" s="20">
        <v>0</v>
      </c>
      <c r="G108" s="6"/>
      <c r="H108" s="16" t="s">
        <v>154</v>
      </c>
      <c r="I108" s="36">
        <v>-9.7646619022947166E-4</v>
      </c>
      <c r="J108" s="6"/>
      <c r="K108" s="2">
        <f t="shared" si="4"/>
        <v>-7.5130909140973846E-3</v>
      </c>
      <c r="L108" s="2">
        <f t="shared" si="3"/>
        <v>1.2688990606083729E-4</v>
      </c>
    </row>
    <row r="109" spans="2:12" ht="15" thickBot="1" x14ac:dyDescent="0.3">
      <c r="B109" s="25" t="s">
        <v>155</v>
      </c>
      <c r="C109" s="26">
        <v>2.7238202973497092</v>
      </c>
      <c r="D109" s="27">
        <v>4.3185718826055224</v>
      </c>
      <c r="E109" s="28">
        <v>6322</v>
      </c>
      <c r="F109" s="29">
        <v>134</v>
      </c>
      <c r="G109" s="6"/>
      <c r="H109" s="25" t="s">
        <v>155</v>
      </c>
      <c r="I109" s="37">
        <v>-2.5995265920021368E-2</v>
      </c>
      <c r="J109" s="6"/>
      <c r="K109" s="2">
        <f t="shared" si="4"/>
        <v>1.0376385584416878E-2</v>
      </c>
      <c r="L109" s="2">
        <f t="shared" si="3"/>
        <v>1.6395798164933577E-2</v>
      </c>
    </row>
    <row r="110" spans="2:12" ht="36" customHeight="1" thickTop="1" x14ac:dyDescent="0.25">
      <c r="B110" s="30" t="s">
        <v>48</v>
      </c>
      <c r="C110" s="30"/>
      <c r="D110" s="30"/>
      <c r="E110" s="30"/>
      <c r="F110" s="30"/>
      <c r="G110" s="6"/>
      <c r="H110" s="30" t="s">
        <v>156</v>
      </c>
      <c r="I110" s="30"/>
      <c r="J110" s="6"/>
      <c r="K110" s="2" t="e">
        <f t="shared" si="4"/>
        <v>#DIV/0!</v>
      </c>
      <c r="L110" s="2" t="e">
        <f t="shared" si="3"/>
        <v>#DIV/0!</v>
      </c>
    </row>
    <row r="111" spans="2:12" ht="15.75" customHeight="1" x14ac:dyDescent="0.35">
      <c r="B111" s="5"/>
      <c r="C111" s="5"/>
      <c r="D111" s="5"/>
      <c r="E111" s="5"/>
      <c r="F111" s="5"/>
      <c r="H111" s="5"/>
      <c r="I111" s="5"/>
    </row>
  </sheetData>
  <mergeCells count="9">
    <mergeCell ref="K3:L3"/>
    <mergeCell ref="B111:F111"/>
    <mergeCell ref="H111:I111"/>
    <mergeCell ref="B3:F3"/>
    <mergeCell ref="B4"/>
    <mergeCell ref="B110:F110"/>
    <mergeCell ref="H2:I2"/>
    <mergeCell ref="H3:H4"/>
    <mergeCell ref="H110:I110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3"/>
  <sheetViews>
    <sheetView topLeftCell="A91" workbookViewId="0">
      <selection activeCell="I99" sqref="I99"/>
    </sheetView>
  </sheetViews>
  <sheetFormatPr defaultColWidth="9.1796875" defaultRowHeight="14.5" x14ac:dyDescent="0.35"/>
  <cols>
    <col min="1" max="1" width="9.1796875" style="2"/>
    <col min="2" max="2" width="30.7265625" style="2" customWidth="1"/>
    <col min="3" max="7" width="9.1796875" style="2"/>
    <col min="8" max="8" width="27.7265625" style="2" customWidth="1"/>
    <col min="9" max="9" width="10.26953125" style="2" bestFit="1" customWidth="1"/>
    <col min="10" max="10" width="9.1796875" style="2"/>
    <col min="11" max="11" width="12.7265625" style="2" bestFit="1" customWidth="1"/>
    <col min="12" max="12" width="15.26953125" style="2" bestFit="1" customWidth="1"/>
    <col min="13" max="16384" width="9.1796875" style="2"/>
  </cols>
  <sheetData>
    <row r="1" spans="1:12" x14ac:dyDescent="0.35">
      <c r="A1" s="2" t="s">
        <v>3</v>
      </c>
    </row>
    <row r="4" spans="1:12" ht="15.75" customHeight="1" thickBot="1" x14ac:dyDescent="0.3">
      <c r="H4" s="38" t="s">
        <v>6</v>
      </c>
      <c r="I4" s="38"/>
      <c r="J4" s="39"/>
    </row>
    <row r="5" spans="1:12" ht="15.5" thickTop="1" thickBot="1" x14ac:dyDescent="0.3">
      <c r="B5" s="38" t="s">
        <v>0</v>
      </c>
      <c r="C5" s="38"/>
      <c r="D5" s="38"/>
      <c r="E5" s="38"/>
      <c r="F5" s="38"/>
      <c r="G5" s="39"/>
      <c r="H5" s="64" t="s">
        <v>47</v>
      </c>
      <c r="I5" s="65" t="s">
        <v>4</v>
      </c>
      <c r="J5" s="39"/>
      <c r="K5" s="3" t="s">
        <v>8</v>
      </c>
      <c r="L5" s="3"/>
    </row>
    <row r="6" spans="1:12" ht="26" thickTop="1" thickBot="1" x14ac:dyDescent="0.3">
      <c r="B6" s="40" t="s">
        <v>47</v>
      </c>
      <c r="C6" s="41" t="s">
        <v>1</v>
      </c>
      <c r="D6" s="42" t="s">
        <v>49</v>
      </c>
      <c r="E6" s="42" t="s">
        <v>50</v>
      </c>
      <c r="F6" s="43" t="s">
        <v>2</v>
      </c>
      <c r="G6" s="39"/>
      <c r="H6" s="66"/>
      <c r="I6" s="67" t="s">
        <v>5</v>
      </c>
      <c r="J6" s="39"/>
      <c r="K6" s="1" t="s">
        <v>9</v>
      </c>
      <c r="L6" s="1" t="s">
        <v>10</v>
      </c>
    </row>
    <row r="7" spans="1:12" ht="24" thickTop="1" thickBot="1" x14ac:dyDescent="0.3">
      <c r="B7" s="44" t="s">
        <v>51</v>
      </c>
      <c r="C7" s="45">
        <v>9.648466716529544E-2</v>
      </c>
      <c r="D7" s="46">
        <v>0.29536524371930722</v>
      </c>
      <c r="E7" s="47">
        <v>1337</v>
      </c>
      <c r="F7" s="48">
        <v>0</v>
      </c>
      <c r="G7" s="39"/>
      <c r="H7" s="44" t="s">
        <v>51</v>
      </c>
      <c r="I7" s="68">
        <f>--0.0288791994876813</f>
        <v>2.8879199487681299E-2</v>
      </c>
      <c r="J7" s="39"/>
      <c r="K7" s="2">
        <f>((1-C7)/D7)*I7</f>
        <v>8.8340791924417558E-2</v>
      </c>
      <c r="L7" s="2">
        <f>((0-C7)/D7)*I7</f>
        <v>-9.4337435084849881E-3</v>
      </c>
    </row>
    <row r="8" spans="1:12" ht="23.5" thickTop="1" x14ac:dyDescent="0.25">
      <c r="B8" s="49" t="s">
        <v>52</v>
      </c>
      <c r="C8" s="50">
        <v>0.37397157816005983</v>
      </c>
      <c r="D8" s="51">
        <v>0.48403726513760398</v>
      </c>
      <c r="E8" s="52">
        <v>1337</v>
      </c>
      <c r="F8" s="53">
        <v>0</v>
      </c>
      <c r="G8" s="39"/>
      <c r="H8" s="49" t="s">
        <v>52</v>
      </c>
      <c r="I8" s="68">
        <f>--0.0598265396406825</f>
        <v>5.9826539640682498E-2</v>
      </c>
      <c r="J8" s="39"/>
      <c r="K8" s="2">
        <f t="shared" ref="K8:K18" si="0">((1-C8)/D8)*I8</f>
        <v>7.7376509812222341E-2</v>
      </c>
      <c r="L8" s="2">
        <f t="shared" ref="L8:L71" si="1">((0-C8)/D8)*I8</f>
        <v>-4.6222526769547405E-2</v>
      </c>
    </row>
    <row r="9" spans="1:12" ht="23" x14ac:dyDescent="0.25">
      <c r="B9" s="49" t="s">
        <v>53</v>
      </c>
      <c r="C9" s="50">
        <v>3.7397157816005983E-3</v>
      </c>
      <c r="D9" s="51">
        <v>6.1061600271885383E-2</v>
      </c>
      <c r="E9" s="52">
        <v>1337</v>
      </c>
      <c r="F9" s="53">
        <v>0</v>
      </c>
      <c r="G9" s="39"/>
      <c r="H9" s="49" t="s">
        <v>53</v>
      </c>
      <c r="I9" s="69">
        <f>-0.00496408937523792</f>
        <v>-4.9640893752379203E-3</v>
      </c>
      <c r="J9" s="39"/>
      <c r="K9" s="2">
        <f t="shared" si="0"/>
        <v>-8.0992392433860541E-2</v>
      </c>
      <c r="L9" s="2">
        <f t="shared" si="1"/>
        <v>3.0402549712410119E-4</v>
      </c>
    </row>
    <row r="10" spans="1:12" ht="23" x14ac:dyDescent="0.25">
      <c r="B10" s="49" t="s">
        <v>54</v>
      </c>
      <c r="C10" s="50">
        <v>0.26626776364996263</v>
      </c>
      <c r="D10" s="51">
        <v>0.44217131991248887</v>
      </c>
      <c r="E10" s="52">
        <v>1337</v>
      </c>
      <c r="F10" s="53">
        <v>0</v>
      </c>
      <c r="G10" s="39"/>
      <c r="H10" s="49" t="s">
        <v>54</v>
      </c>
      <c r="I10" s="69">
        <f>-0.0226528239777807</f>
        <v>-2.2652823977780699E-2</v>
      </c>
      <c r="J10" s="39"/>
      <c r="K10" s="2">
        <f t="shared" si="0"/>
        <v>-3.7589745079238297E-2</v>
      </c>
      <c r="L10" s="2">
        <f t="shared" si="1"/>
        <v>1.3641130732119098E-2</v>
      </c>
    </row>
    <row r="11" spans="1:12" ht="23" x14ac:dyDescent="0.25">
      <c r="B11" s="49" t="s">
        <v>55</v>
      </c>
      <c r="C11" s="50">
        <v>0.11144353029169783</v>
      </c>
      <c r="D11" s="51">
        <v>0.31479833149316705</v>
      </c>
      <c r="E11" s="52">
        <v>1337</v>
      </c>
      <c r="F11" s="53">
        <v>0</v>
      </c>
      <c r="G11" s="39"/>
      <c r="H11" s="49" t="s">
        <v>55</v>
      </c>
      <c r="I11" s="69">
        <f>-0.0432049330162635</f>
        <v>-4.3204933016263498E-2</v>
      </c>
      <c r="J11" s="39"/>
      <c r="K11" s="2">
        <f t="shared" si="0"/>
        <v>-0.12195116337758623</v>
      </c>
      <c r="L11" s="2">
        <f t="shared" si="1"/>
        <v>1.5295221669411068E-2</v>
      </c>
    </row>
    <row r="12" spans="1:12" ht="23" x14ac:dyDescent="0.25">
      <c r="B12" s="49" t="s">
        <v>56</v>
      </c>
      <c r="C12" s="50">
        <v>5.0112191473448017E-2</v>
      </c>
      <c r="D12" s="51">
        <v>0.21825807934658423</v>
      </c>
      <c r="E12" s="52">
        <v>1337</v>
      </c>
      <c r="F12" s="53">
        <v>0</v>
      </c>
      <c r="G12" s="39"/>
      <c r="H12" s="49" t="s">
        <v>56</v>
      </c>
      <c r="I12" s="69">
        <f>-0.0274840542887565</f>
        <v>-2.7484054288756499E-2</v>
      </c>
      <c r="J12" s="39"/>
      <c r="K12" s="2">
        <f t="shared" si="0"/>
        <v>-0.11961421165223073</v>
      </c>
      <c r="L12" s="2">
        <f t="shared" si="1"/>
        <v>6.3103560477948493E-3</v>
      </c>
    </row>
    <row r="13" spans="1:12" ht="23" x14ac:dyDescent="0.25">
      <c r="B13" s="49" t="s">
        <v>57</v>
      </c>
      <c r="C13" s="50">
        <v>6.2079281974569932E-2</v>
      </c>
      <c r="D13" s="51">
        <v>0.24138978156457622</v>
      </c>
      <c r="E13" s="52">
        <v>1337</v>
      </c>
      <c r="F13" s="53">
        <v>0</v>
      </c>
      <c r="G13" s="39"/>
      <c r="H13" s="49" t="s">
        <v>57</v>
      </c>
      <c r="I13" s="69">
        <f>-0.0386805137749195</f>
        <v>-3.8680513774919503E-2</v>
      </c>
      <c r="J13" s="39"/>
      <c r="K13" s="2">
        <f t="shared" si="0"/>
        <v>-0.15029325192731768</v>
      </c>
      <c r="L13" s="2">
        <f t="shared" si="1"/>
        <v>9.9476394816326707E-3</v>
      </c>
    </row>
    <row r="14" spans="1:12" ht="23" x14ac:dyDescent="0.25">
      <c r="B14" s="49" t="s">
        <v>58</v>
      </c>
      <c r="C14" s="50">
        <v>1.4958863126402393E-3</v>
      </c>
      <c r="D14" s="51">
        <v>3.8662212006771515E-2</v>
      </c>
      <c r="E14" s="52">
        <v>1337</v>
      </c>
      <c r="F14" s="53">
        <v>0</v>
      </c>
      <c r="G14" s="39"/>
      <c r="H14" s="49" t="s">
        <v>58</v>
      </c>
      <c r="I14" s="69">
        <f>-0.00147722703600613</f>
        <v>-1.4772270360061299E-3</v>
      </c>
      <c r="J14" s="39"/>
      <c r="K14" s="2">
        <f t="shared" si="0"/>
        <v>-3.815139371859954E-2</v>
      </c>
      <c r="L14" s="2">
        <f t="shared" si="1"/>
        <v>5.715564602037383E-5</v>
      </c>
    </row>
    <row r="15" spans="1:12" ht="23" x14ac:dyDescent="0.25">
      <c r="B15" s="49" t="s">
        <v>59</v>
      </c>
      <c r="C15" s="50">
        <v>2.9917726252804786E-3</v>
      </c>
      <c r="D15" s="51">
        <v>5.4635652947304193E-2</v>
      </c>
      <c r="E15" s="52">
        <v>1337</v>
      </c>
      <c r="F15" s="53">
        <v>0</v>
      </c>
      <c r="G15" s="39"/>
      <c r="H15" s="49" t="s">
        <v>59</v>
      </c>
      <c r="I15" s="69">
        <f>-0.00756114200035383</f>
        <v>-7.5611420003538297E-3</v>
      </c>
      <c r="J15" s="39"/>
      <c r="K15" s="2">
        <f t="shared" si="0"/>
        <v>-0.13797804869234703</v>
      </c>
      <c r="L15" s="2">
        <f t="shared" si="1"/>
        <v>4.1403765549091385E-4</v>
      </c>
    </row>
    <row r="16" spans="1:12" ht="34.5" x14ac:dyDescent="0.25">
      <c r="B16" s="49" t="s">
        <v>60</v>
      </c>
      <c r="C16" s="50">
        <v>6.7314884068810773E-3</v>
      </c>
      <c r="D16" s="51">
        <v>8.1799633819885281E-2</v>
      </c>
      <c r="E16" s="52">
        <v>1337</v>
      </c>
      <c r="F16" s="53">
        <v>0</v>
      </c>
      <c r="G16" s="39"/>
      <c r="H16" s="49" t="s">
        <v>60</v>
      </c>
      <c r="I16" s="69">
        <f>--0.000517775782236786</f>
        <v>5.1777578223678603E-4</v>
      </c>
      <c r="J16" s="39"/>
      <c r="K16" s="2">
        <f t="shared" si="0"/>
        <v>6.2871966113407299E-3</v>
      </c>
      <c r="L16" s="2">
        <f t="shared" si="1"/>
        <v>-4.2609013179266995E-5</v>
      </c>
    </row>
    <row r="17" spans="2:12" ht="23" x14ac:dyDescent="0.25">
      <c r="B17" s="49" t="s">
        <v>62</v>
      </c>
      <c r="C17" s="50">
        <v>8.9753178758414359E-3</v>
      </c>
      <c r="D17" s="51">
        <v>9.434733329838467E-2</v>
      </c>
      <c r="E17" s="52">
        <v>1337</v>
      </c>
      <c r="F17" s="53">
        <v>0</v>
      </c>
      <c r="G17" s="39"/>
      <c r="H17" s="49" t="s">
        <v>62</v>
      </c>
      <c r="I17" s="69">
        <f>--0.0109859779695021</f>
        <v>1.0985977969502099E-2</v>
      </c>
      <c r="J17" s="39"/>
      <c r="K17" s="2">
        <f t="shared" si="0"/>
        <v>0.11539674672750111</v>
      </c>
      <c r="L17" s="2">
        <f t="shared" si="1"/>
        <v>-1.045102611871708E-3</v>
      </c>
    </row>
    <row r="18" spans="2:12" ht="23" x14ac:dyDescent="0.25">
      <c r="B18" s="49" t="s">
        <v>63</v>
      </c>
      <c r="C18" s="50">
        <v>1.4958863126402393E-2</v>
      </c>
      <c r="D18" s="51">
        <v>0.12143362303537335</v>
      </c>
      <c r="E18" s="52">
        <v>1337</v>
      </c>
      <c r="F18" s="53">
        <v>0</v>
      </c>
      <c r="G18" s="39"/>
      <c r="H18" s="49" t="s">
        <v>63</v>
      </c>
      <c r="I18" s="69">
        <f>--0.00844330880776864</f>
        <v>8.4433088077686402E-3</v>
      </c>
      <c r="J18" s="39"/>
      <c r="K18" s="2">
        <f t="shared" si="0"/>
        <v>6.8490145472778624E-2</v>
      </c>
      <c r="L18" s="2">
        <f t="shared" si="1"/>
        <v>-1.0400933253269342E-3</v>
      </c>
    </row>
    <row r="19" spans="2:12" ht="34.5" x14ac:dyDescent="0.25">
      <c r="B19" s="49" t="s">
        <v>64</v>
      </c>
      <c r="C19" s="50">
        <v>8.9753178758414359E-3</v>
      </c>
      <c r="D19" s="51">
        <v>9.4347333298385974E-2</v>
      </c>
      <c r="E19" s="52">
        <v>1337</v>
      </c>
      <c r="F19" s="53">
        <v>0</v>
      </c>
      <c r="G19" s="39"/>
      <c r="H19" s="49" t="s">
        <v>64</v>
      </c>
      <c r="I19" s="69">
        <f>--0.018592475029587</f>
        <v>1.8592475029587E-2</v>
      </c>
      <c r="J19" s="39"/>
      <c r="K19" s="2">
        <f>((1-C19)/D19)*I19</f>
        <v>0.19529541548169041</v>
      </c>
      <c r="L19" s="2">
        <f t="shared" si="1"/>
        <v>-1.7687131968153092E-3</v>
      </c>
    </row>
    <row r="20" spans="2:12" ht="34.5" x14ac:dyDescent="0.25">
      <c r="B20" s="49" t="s">
        <v>65</v>
      </c>
      <c r="C20" s="50">
        <v>5.9087509349289455E-2</v>
      </c>
      <c r="D20" s="51">
        <v>0.23587664041204204</v>
      </c>
      <c r="E20" s="52">
        <v>1337</v>
      </c>
      <c r="F20" s="53">
        <v>0</v>
      </c>
      <c r="G20" s="39"/>
      <c r="H20" s="49" t="s">
        <v>65</v>
      </c>
      <c r="I20" s="69">
        <f>--0.0373441784869119</f>
        <v>3.7344178486911898E-2</v>
      </c>
      <c r="J20" s="39"/>
      <c r="K20" s="2">
        <f t="shared" ref="K20:K58" si="2">((1-C20)/D20)*I20</f>
        <v>0.14896601855124228</v>
      </c>
      <c r="L20" s="2">
        <f t="shared" ref="L20:L58" si="3">((0-C20)/D20)*I20</f>
        <v>-9.3547817691161696E-3</v>
      </c>
    </row>
    <row r="21" spans="2:12" ht="34.5" x14ac:dyDescent="0.25">
      <c r="B21" s="49" t="s">
        <v>66</v>
      </c>
      <c r="C21" s="50">
        <v>5.235602094240838E-3</v>
      </c>
      <c r="D21" s="51">
        <v>7.2194798366521956E-2</v>
      </c>
      <c r="E21" s="52">
        <v>1337</v>
      </c>
      <c r="F21" s="53">
        <v>0</v>
      </c>
      <c r="G21" s="39"/>
      <c r="H21" s="49" t="s">
        <v>66</v>
      </c>
      <c r="I21" s="69">
        <f>--0.0134240635820339</f>
        <v>1.34240635820339E-2</v>
      </c>
      <c r="J21" s="39"/>
      <c r="K21" s="2">
        <f t="shared" si="2"/>
        <v>0.18496873498884892</v>
      </c>
      <c r="L21" s="2">
        <f t="shared" si="3"/>
        <v>-9.7351965783604698E-4</v>
      </c>
    </row>
    <row r="22" spans="2:12" ht="34.5" x14ac:dyDescent="0.25">
      <c r="B22" s="49" t="s">
        <v>67</v>
      </c>
      <c r="C22" s="50">
        <v>2.243829468960359E-2</v>
      </c>
      <c r="D22" s="51">
        <v>0.14815949479425208</v>
      </c>
      <c r="E22" s="52">
        <v>1337</v>
      </c>
      <c r="F22" s="53">
        <v>0</v>
      </c>
      <c r="G22" s="39"/>
      <c r="H22" s="49" t="s">
        <v>67</v>
      </c>
      <c r="I22" s="69">
        <f>--0.00856757559692084</f>
        <v>8.56757559692084E-3</v>
      </c>
      <c r="J22" s="39"/>
      <c r="K22" s="2">
        <f t="shared" si="2"/>
        <v>5.6529173662021689E-2</v>
      </c>
      <c r="L22" s="2">
        <f t="shared" si="3"/>
        <v>-1.2975326777816762E-3</v>
      </c>
    </row>
    <row r="23" spans="2:12" ht="23" x14ac:dyDescent="0.25">
      <c r="B23" s="49" t="s">
        <v>68</v>
      </c>
      <c r="C23" s="50">
        <v>0.37471952131637998</v>
      </c>
      <c r="D23" s="51">
        <v>0.48423153501848432</v>
      </c>
      <c r="E23" s="52">
        <v>1337</v>
      </c>
      <c r="F23" s="53">
        <v>0</v>
      </c>
      <c r="G23" s="39"/>
      <c r="H23" s="49" t="s">
        <v>68</v>
      </c>
      <c r="I23" s="69">
        <f>--0.0000972871596743808</f>
        <v>9.7287159674380806E-5</v>
      </c>
      <c r="J23" s="39"/>
      <c r="K23" s="2">
        <f t="shared" si="2"/>
        <v>1.2562536177790343E-4</v>
      </c>
      <c r="L23" s="2">
        <f t="shared" si="3"/>
        <v>-7.5285055323839255E-5</v>
      </c>
    </row>
    <row r="24" spans="2:12" ht="34.5" x14ac:dyDescent="0.25">
      <c r="B24" s="49" t="s">
        <v>69</v>
      </c>
      <c r="C24" s="50">
        <v>1.4210919970082274E-2</v>
      </c>
      <c r="D24" s="51">
        <v>0.11840378152519976</v>
      </c>
      <c r="E24" s="52">
        <v>1337</v>
      </c>
      <c r="F24" s="53">
        <v>0</v>
      </c>
      <c r="G24" s="39"/>
      <c r="H24" s="49" t="s">
        <v>69</v>
      </c>
      <c r="I24" s="69">
        <f>-0.0190073094539367</f>
        <v>-1.9007309453936701E-2</v>
      </c>
      <c r="J24" s="39"/>
      <c r="K24" s="2">
        <f t="shared" si="2"/>
        <v>-0.15824830811212223</v>
      </c>
      <c r="L24" s="2">
        <f t="shared" si="3"/>
        <v>2.2812730304478928E-3</v>
      </c>
    </row>
    <row r="25" spans="2:12" ht="23" x14ac:dyDescent="0.25">
      <c r="B25" s="49" t="s">
        <v>71</v>
      </c>
      <c r="C25" s="50">
        <v>8.9753178758414362E-2</v>
      </c>
      <c r="D25" s="51">
        <v>0.28593477668640915</v>
      </c>
      <c r="E25" s="52">
        <v>1337</v>
      </c>
      <c r="F25" s="53">
        <v>0</v>
      </c>
      <c r="G25" s="39"/>
      <c r="H25" s="49" t="s">
        <v>71</v>
      </c>
      <c r="I25" s="69">
        <f>-0.056015966560917</f>
        <v>-5.6015966560917001E-2</v>
      </c>
      <c r="J25" s="39"/>
      <c r="K25" s="2">
        <f t="shared" si="2"/>
        <v>-0.17832163016942038</v>
      </c>
      <c r="L25" s="2">
        <f t="shared" si="3"/>
        <v>1.7583069531906692E-2</v>
      </c>
    </row>
    <row r="26" spans="2:12" ht="34.5" x14ac:dyDescent="0.25">
      <c r="B26" s="49" t="s">
        <v>73</v>
      </c>
      <c r="C26" s="50">
        <v>1.5706806282722512E-2</v>
      </c>
      <c r="D26" s="51">
        <v>0.12438518582268367</v>
      </c>
      <c r="E26" s="52">
        <v>1337</v>
      </c>
      <c r="F26" s="53">
        <v>0</v>
      </c>
      <c r="G26" s="39"/>
      <c r="H26" s="49" t="s">
        <v>73</v>
      </c>
      <c r="I26" s="69">
        <f>--0.00825570627519399</f>
        <v>8.2557062751939907E-3</v>
      </c>
      <c r="J26" s="39"/>
      <c r="K26" s="2">
        <f t="shared" si="2"/>
        <v>6.5329608524173202E-2</v>
      </c>
      <c r="L26" s="2">
        <f t="shared" si="3"/>
        <v>-1.0424937530453169E-3</v>
      </c>
    </row>
    <row r="27" spans="2:12" ht="46" x14ac:dyDescent="0.25">
      <c r="B27" s="49" t="s">
        <v>74</v>
      </c>
      <c r="C27" s="50">
        <v>7.4794315632011965E-4</v>
      </c>
      <c r="D27" s="51">
        <v>2.7348549437220322E-2</v>
      </c>
      <c r="E27" s="52">
        <v>1337</v>
      </c>
      <c r="F27" s="53">
        <v>0</v>
      </c>
      <c r="G27" s="39"/>
      <c r="H27" s="49" t="s">
        <v>74</v>
      </c>
      <c r="I27" s="69">
        <f>-0.000365781269876096</f>
        <v>-3.65781269876096E-4</v>
      </c>
      <c r="J27" s="39"/>
      <c r="K27" s="2">
        <f t="shared" si="2"/>
        <v>-1.3364792422267931E-2</v>
      </c>
      <c r="L27" s="2">
        <f t="shared" si="3"/>
        <v>1.0003587142416118E-5</v>
      </c>
    </row>
    <row r="28" spans="2:12" ht="34.5" x14ac:dyDescent="0.25">
      <c r="B28" s="49" t="s">
        <v>75</v>
      </c>
      <c r="C28" s="50">
        <v>2.0194465220643231E-2</v>
      </c>
      <c r="D28" s="51">
        <v>0.14071765760187868</v>
      </c>
      <c r="E28" s="52">
        <v>1337</v>
      </c>
      <c r="F28" s="53">
        <v>0</v>
      </c>
      <c r="G28" s="39"/>
      <c r="H28" s="49" t="s">
        <v>75</v>
      </c>
      <c r="I28" s="69">
        <f>--0.0037523334954053</f>
        <v>3.7523334954053002E-3</v>
      </c>
      <c r="J28" s="39"/>
      <c r="K28" s="2">
        <f t="shared" si="2"/>
        <v>2.6127191070347937E-2</v>
      </c>
      <c r="L28" s="2">
        <f t="shared" si="3"/>
        <v>-5.3849935793846891E-4</v>
      </c>
    </row>
    <row r="29" spans="2:12" ht="34.5" x14ac:dyDescent="0.25">
      <c r="B29" s="49" t="s">
        <v>76</v>
      </c>
      <c r="C29" s="50">
        <v>0.37696335078534032</v>
      </c>
      <c r="D29" s="51">
        <v>0.48480694905028809</v>
      </c>
      <c r="E29" s="52">
        <v>1337</v>
      </c>
      <c r="F29" s="53">
        <v>0</v>
      </c>
      <c r="G29" s="39"/>
      <c r="H29" s="49" t="s">
        <v>76</v>
      </c>
      <c r="I29" s="69">
        <f>--0.00961839218904142</f>
        <v>9.6183921890414196E-3</v>
      </c>
      <c r="J29" s="39"/>
      <c r="K29" s="2">
        <f t="shared" si="2"/>
        <v>1.2360818779582344E-2</v>
      </c>
      <c r="L29" s="2">
        <f t="shared" si="3"/>
        <v>-7.4788147237809148E-3</v>
      </c>
    </row>
    <row r="30" spans="2:12" ht="34.5" x14ac:dyDescent="0.25">
      <c r="B30" s="49" t="s">
        <v>77</v>
      </c>
      <c r="C30" s="50">
        <v>1.0471204188481676E-2</v>
      </c>
      <c r="D30" s="51">
        <v>0.10182982730302446</v>
      </c>
      <c r="E30" s="52">
        <v>1337</v>
      </c>
      <c r="F30" s="53">
        <v>0</v>
      </c>
      <c r="G30" s="39"/>
      <c r="H30" s="49" t="s">
        <v>77</v>
      </c>
      <c r="I30" s="69">
        <f>-0.00568762294395894</f>
        <v>-5.6876229439589403E-3</v>
      </c>
      <c r="J30" s="39"/>
      <c r="K30" s="2">
        <f t="shared" si="2"/>
        <v>-5.5269333473557725E-2</v>
      </c>
      <c r="L30" s="2">
        <f t="shared" si="3"/>
        <v>5.8486067167785958E-4</v>
      </c>
    </row>
    <row r="31" spans="2:12" ht="23" x14ac:dyDescent="0.25">
      <c r="B31" s="49" t="s">
        <v>79</v>
      </c>
      <c r="C31" s="50">
        <v>1.4958863126402393E-3</v>
      </c>
      <c r="D31" s="51">
        <v>3.8662212006771557E-2</v>
      </c>
      <c r="E31" s="52">
        <v>1337</v>
      </c>
      <c r="F31" s="53">
        <v>0</v>
      </c>
      <c r="G31" s="39"/>
      <c r="H31" s="49" t="s">
        <v>79</v>
      </c>
      <c r="I31" s="69">
        <f>-0.00542497675790927</f>
        <v>-5.4249767579092698E-3</v>
      </c>
      <c r="J31" s="39"/>
      <c r="K31" s="2">
        <f t="shared" si="2"/>
        <v>-0.14010738983279014</v>
      </c>
      <c r="L31" s="2">
        <f t="shared" si="3"/>
        <v>2.0989871135998521E-4</v>
      </c>
    </row>
    <row r="32" spans="2:12" ht="23" x14ac:dyDescent="0.25">
      <c r="B32" s="49" t="s">
        <v>80</v>
      </c>
      <c r="C32" s="50">
        <v>0.31563201196709051</v>
      </c>
      <c r="D32" s="51">
        <v>0.46494099405891959</v>
      </c>
      <c r="E32" s="52">
        <v>1337</v>
      </c>
      <c r="F32" s="53">
        <v>0</v>
      </c>
      <c r="G32" s="39"/>
      <c r="H32" s="49" t="s">
        <v>80</v>
      </c>
      <c r="I32" s="69">
        <f>--0.071276199020396</f>
        <v>7.1276199020396003E-2</v>
      </c>
      <c r="J32" s="39"/>
      <c r="K32" s="2">
        <f t="shared" si="2"/>
        <v>0.10491470862223028</v>
      </c>
      <c r="L32" s="2">
        <f t="shared" si="3"/>
        <v>-4.8386892938340087E-2</v>
      </c>
    </row>
    <row r="33" spans="2:12" ht="23" x14ac:dyDescent="0.25">
      <c r="B33" s="49" t="s">
        <v>81</v>
      </c>
      <c r="C33" s="50">
        <v>1.2715033657442034E-2</v>
      </c>
      <c r="D33" s="51">
        <v>0.11208370891997348</v>
      </c>
      <c r="E33" s="52">
        <v>1337</v>
      </c>
      <c r="F33" s="53">
        <v>0</v>
      </c>
      <c r="G33" s="39"/>
      <c r="H33" s="49" t="s">
        <v>81</v>
      </c>
      <c r="I33" s="69">
        <f>--0.0112782063055252</f>
        <v>1.12782063055252E-2</v>
      </c>
      <c r="J33" s="39"/>
      <c r="K33" s="2">
        <f t="shared" si="2"/>
        <v>9.934363914299979E-2</v>
      </c>
      <c r="L33" s="2">
        <f t="shared" si="3"/>
        <v>-1.2794256556295427E-3</v>
      </c>
    </row>
    <row r="34" spans="2:12" ht="23" x14ac:dyDescent="0.25">
      <c r="B34" s="49" t="s">
        <v>82</v>
      </c>
      <c r="C34" s="50">
        <v>9.7232610321615551E-3</v>
      </c>
      <c r="D34" s="51">
        <v>9.81627544042636E-2</v>
      </c>
      <c r="E34" s="52">
        <v>1337</v>
      </c>
      <c r="F34" s="53">
        <v>0</v>
      </c>
      <c r="G34" s="39"/>
      <c r="H34" s="49" t="s">
        <v>82</v>
      </c>
      <c r="I34" s="69">
        <f>--0.0114916454565404</f>
        <v>1.1491645456540399E-2</v>
      </c>
      <c r="J34" s="39"/>
      <c r="K34" s="2">
        <f t="shared" si="2"/>
        <v>0.11592899218385348</v>
      </c>
      <c r="L34" s="2">
        <f t="shared" si="3"/>
        <v>-1.138275603013667E-3</v>
      </c>
    </row>
    <row r="35" spans="2:12" ht="23" x14ac:dyDescent="0.25">
      <c r="B35" s="49" t="s">
        <v>83</v>
      </c>
      <c r="C35" s="50">
        <v>5.235602094240838E-3</v>
      </c>
      <c r="D35" s="51">
        <v>7.2194798366522137E-2</v>
      </c>
      <c r="E35" s="52">
        <v>1337</v>
      </c>
      <c r="F35" s="53">
        <v>0</v>
      </c>
      <c r="G35" s="39"/>
      <c r="H35" s="49" t="s">
        <v>83</v>
      </c>
      <c r="I35" s="69">
        <f>--0.0000429536027990832</f>
        <v>4.2953602799083198E-5</v>
      </c>
      <c r="J35" s="39"/>
      <c r="K35" s="2">
        <f t="shared" si="2"/>
        <v>5.9185309458703475E-4</v>
      </c>
      <c r="L35" s="2">
        <f t="shared" si="3"/>
        <v>-3.1150162873001831E-6</v>
      </c>
    </row>
    <row r="36" spans="2:12" ht="23" x14ac:dyDescent="0.25">
      <c r="B36" s="49" t="s">
        <v>84</v>
      </c>
      <c r="C36" s="50">
        <v>0.13014210919970082</v>
      </c>
      <c r="D36" s="51">
        <v>0.33658561317953006</v>
      </c>
      <c r="E36" s="52">
        <v>1337</v>
      </c>
      <c r="F36" s="53">
        <v>0</v>
      </c>
      <c r="G36" s="39"/>
      <c r="H36" s="49" t="s">
        <v>84</v>
      </c>
      <c r="I36" s="69">
        <f>--0.0190967414150636</f>
        <v>1.9096741415063598E-2</v>
      </c>
      <c r="J36" s="39"/>
      <c r="K36" s="2">
        <f t="shared" si="2"/>
        <v>4.9352826021133667E-2</v>
      </c>
      <c r="L36" s="2">
        <f t="shared" si="3"/>
        <v>-7.3838277967990182E-3</v>
      </c>
    </row>
    <row r="37" spans="2:12" ht="23" x14ac:dyDescent="0.25">
      <c r="B37" s="49" t="s">
        <v>85</v>
      </c>
      <c r="C37" s="50">
        <v>0.5003739715781601</v>
      </c>
      <c r="D37" s="51">
        <v>0.50018695083846498</v>
      </c>
      <c r="E37" s="52">
        <v>1337</v>
      </c>
      <c r="F37" s="53">
        <v>0</v>
      </c>
      <c r="G37" s="39"/>
      <c r="H37" s="49" t="s">
        <v>85</v>
      </c>
      <c r="I37" s="69">
        <f>-0.0837798548863912</f>
        <v>-8.3779854886391197E-2</v>
      </c>
      <c r="J37" s="39"/>
      <c r="K37" s="2">
        <f t="shared" si="2"/>
        <v>-8.3685902018191413E-2</v>
      </c>
      <c r="L37" s="2">
        <f t="shared" si="3"/>
        <v>8.3811180314625852E-2</v>
      </c>
    </row>
    <row r="38" spans="2:12" ht="34.5" x14ac:dyDescent="0.25">
      <c r="B38" s="49" t="s">
        <v>89</v>
      </c>
      <c r="C38" s="50">
        <v>1.4210919970082274E-2</v>
      </c>
      <c r="D38" s="51">
        <v>0.11840378152519979</v>
      </c>
      <c r="E38" s="52">
        <v>1337</v>
      </c>
      <c r="F38" s="53">
        <v>0</v>
      </c>
      <c r="G38" s="39"/>
      <c r="H38" s="49" t="s">
        <v>89</v>
      </c>
      <c r="I38" s="69">
        <f>-0.00114271519063827</f>
        <v>-1.14271519063827E-3</v>
      </c>
      <c r="J38" s="39"/>
      <c r="K38" s="2">
        <f t="shared" si="2"/>
        <v>-9.5138528685907321E-3</v>
      </c>
      <c r="L38" s="2">
        <f t="shared" si="3"/>
        <v>1.3714962405403939E-4</v>
      </c>
    </row>
    <row r="39" spans="2:12" ht="23" x14ac:dyDescent="0.25">
      <c r="B39" s="49" t="s">
        <v>90</v>
      </c>
      <c r="C39" s="50">
        <v>1.4958863126402393E-3</v>
      </c>
      <c r="D39" s="51">
        <v>3.8662212006771682E-2</v>
      </c>
      <c r="E39" s="52">
        <v>1337</v>
      </c>
      <c r="F39" s="53">
        <v>0</v>
      </c>
      <c r="G39" s="39"/>
      <c r="H39" s="49" t="s">
        <v>90</v>
      </c>
      <c r="I39" s="69">
        <f>-0.00217525119845976</f>
        <v>-2.1752511984597599E-3</v>
      </c>
      <c r="J39" s="39"/>
      <c r="K39" s="2">
        <f t="shared" si="2"/>
        <v>-5.6178815365892795E-2</v>
      </c>
      <c r="L39" s="2">
        <f t="shared" si="3"/>
        <v>8.4163019274745754E-5</v>
      </c>
    </row>
    <row r="40" spans="2:12" x14ac:dyDescent="0.25">
      <c r="B40" s="49" t="s">
        <v>91</v>
      </c>
      <c r="C40" s="50">
        <v>0.5766641735228123</v>
      </c>
      <c r="D40" s="51">
        <v>0.49427252705206798</v>
      </c>
      <c r="E40" s="52">
        <v>1337</v>
      </c>
      <c r="F40" s="53">
        <v>0</v>
      </c>
      <c r="G40" s="39"/>
      <c r="H40" s="49" t="s">
        <v>91</v>
      </c>
      <c r="I40" s="69">
        <f>--0.0829683770333233</f>
        <v>8.2968377033323298E-2</v>
      </c>
      <c r="J40" s="39"/>
      <c r="K40" s="2">
        <f t="shared" si="2"/>
        <v>7.1060972521284474E-2</v>
      </c>
      <c r="L40" s="2">
        <f t="shared" si="3"/>
        <v>-9.6798603911502357E-2</v>
      </c>
    </row>
    <row r="41" spans="2:12" x14ac:dyDescent="0.25">
      <c r="B41" s="49" t="s">
        <v>92</v>
      </c>
      <c r="C41" s="50">
        <v>0.7172774869109948</v>
      </c>
      <c r="D41" s="51">
        <v>0.4504911574862685</v>
      </c>
      <c r="E41" s="52">
        <v>1337</v>
      </c>
      <c r="F41" s="53">
        <v>0</v>
      </c>
      <c r="G41" s="39"/>
      <c r="H41" s="49" t="s">
        <v>92</v>
      </c>
      <c r="I41" s="69">
        <f>--0.0151661910952601</f>
        <v>1.5166191095260099E-2</v>
      </c>
      <c r="J41" s="39"/>
      <c r="K41" s="2">
        <f t="shared" si="2"/>
        <v>9.5181083783441971E-3</v>
      </c>
      <c r="L41" s="2">
        <f t="shared" si="3"/>
        <v>-2.4147793478391764E-2</v>
      </c>
    </row>
    <row r="42" spans="2:12" x14ac:dyDescent="0.25">
      <c r="B42" s="49" t="s">
        <v>93</v>
      </c>
      <c r="C42" s="50">
        <v>0.61854899027673893</v>
      </c>
      <c r="D42" s="51">
        <v>0.48592462717407015</v>
      </c>
      <c r="E42" s="52">
        <v>1337</v>
      </c>
      <c r="F42" s="53">
        <v>0</v>
      </c>
      <c r="G42" s="39"/>
      <c r="H42" s="49" t="s">
        <v>93</v>
      </c>
      <c r="I42" s="69">
        <f>--0.0792035885779274</f>
        <v>7.9203588577927406E-2</v>
      </c>
      <c r="J42" s="39"/>
      <c r="K42" s="2">
        <f t="shared" si="2"/>
        <v>6.2174845947730428E-2</v>
      </c>
      <c r="L42" s="2">
        <f t="shared" si="3"/>
        <v>-0.10082077960543737</v>
      </c>
    </row>
    <row r="43" spans="2:12" x14ac:dyDescent="0.25">
      <c r="B43" s="49" t="s">
        <v>94</v>
      </c>
      <c r="C43" s="50">
        <v>3.7397157816005985E-2</v>
      </c>
      <c r="D43" s="51">
        <v>0.18980399224188441</v>
      </c>
      <c r="E43" s="52">
        <v>1337</v>
      </c>
      <c r="F43" s="53">
        <v>0</v>
      </c>
      <c r="G43" s="39"/>
      <c r="H43" s="49" t="s">
        <v>94</v>
      </c>
      <c r="I43" s="69">
        <f>--0.0307503036655888</f>
        <v>3.0750303665588799E-2</v>
      </c>
      <c r="J43" s="39"/>
      <c r="K43" s="2">
        <f t="shared" si="2"/>
        <v>0.15595209224468942</v>
      </c>
      <c r="L43" s="2">
        <f t="shared" si="3"/>
        <v>-6.0587448424510261E-3</v>
      </c>
    </row>
    <row r="44" spans="2:12" x14ac:dyDescent="0.25">
      <c r="B44" s="49" t="s">
        <v>95</v>
      </c>
      <c r="C44" s="50">
        <v>0.18548990276738969</v>
      </c>
      <c r="D44" s="51">
        <v>0.38883992222382935</v>
      </c>
      <c r="E44" s="52">
        <v>1337</v>
      </c>
      <c r="F44" s="53">
        <v>0</v>
      </c>
      <c r="G44" s="39"/>
      <c r="H44" s="49" t="s">
        <v>95</v>
      </c>
      <c r="I44" s="69">
        <f>--0.0632539018732163</f>
        <v>6.3253901873216306E-2</v>
      </c>
      <c r="J44" s="39"/>
      <c r="K44" s="2">
        <f t="shared" si="2"/>
        <v>0.13249910521131678</v>
      </c>
      <c r="L44" s="2">
        <f t="shared" si="3"/>
        <v>-3.0174268220759016E-2</v>
      </c>
    </row>
    <row r="45" spans="2:12" x14ac:dyDescent="0.25">
      <c r="B45" s="49" t="s">
        <v>96</v>
      </c>
      <c r="C45" s="50">
        <v>0.21017202692595363</v>
      </c>
      <c r="D45" s="51">
        <v>0.40758311708250694</v>
      </c>
      <c r="E45" s="52">
        <v>1337</v>
      </c>
      <c r="F45" s="53">
        <v>0</v>
      </c>
      <c r="G45" s="39"/>
      <c r="H45" s="49" t="s">
        <v>96</v>
      </c>
      <c r="I45" s="69">
        <f>--0.0598755994134163</f>
        <v>5.9875599413416303E-2</v>
      </c>
      <c r="J45" s="39"/>
      <c r="K45" s="2">
        <f t="shared" si="2"/>
        <v>0.11602890634873615</v>
      </c>
      <c r="L45" s="2">
        <f t="shared" si="3"/>
        <v>-3.0875116178025436E-2</v>
      </c>
    </row>
    <row r="46" spans="2:12" x14ac:dyDescent="0.25">
      <c r="B46" s="49" t="s">
        <v>97</v>
      </c>
      <c r="C46" s="50">
        <v>0.87808526551982047</v>
      </c>
      <c r="D46" s="51">
        <v>0.32730973158312926</v>
      </c>
      <c r="E46" s="52">
        <v>1337</v>
      </c>
      <c r="F46" s="53">
        <v>0</v>
      </c>
      <c r="G46" s="39"/>
      <c r="H46" s="49" t="s">
        <v>97</v>
      </c>
      <c r="I46" s="69">
        <f>--0.0419833226138039</f>
        <v>4.19833226138039E-2</v>
      </c>
      <c r="J46" s="39"/>
      <c r="K46" s="2">
        <f t="shared" si="2"/>
        <v>1.5637743504603577E-2</v>
      </c>
      <c r="L46" s="2">
        <f t="shared" si="3"/>
        <v>-0.11263012806383185</v>
      </c>
    </row>
    <row r="47" spans="2:12" x14ac:dyDescent="0.25">
      <c r="B47" s="49" t="s">
        <v>98</v>
      </c>
      <c r="C47" s="50">
        <v>0.29543754674644729</v>
      </c>
      <c r="D47" s="51">
        <v>0.45640991089462635</v>
      </c>
      <c r="E47" s="52">
        <v>1337</v>
      </c>
      <c r="F47" s="53">
        <v>0</v>
      </c>
      <c r="G47" s="39"/>
      <c r="H47" s="49" t="s">
        <v>98</v>
      </c>
      <c r="I47" s="69">
        <f>--0.0657692737099906</f>
        <v>6.5769273709990597E-2</v>
      </c>
      <c r="J47" s="39"/>
      <c r="K47" s="2">
        <f t="shared" si="2"/>
        <v>0.10152838430476981</v>
      </c>
      <c r="L47" s="2">
        <f t="shared" si="3"/>
        <v>-4.257294246325273E-2</v>
      </c>
    </row>
    <row r="48" spans="2:12" x14ac:dyDescent="0.25">
      <c r="B48" s="49" t="s">
        <v>99</v>
      </c>
      <c r="C48" s="50">
        <v>0.43380703066566939</v>
      </c>
      <c r="D48" s="51">
        <v>0.49578456711203256</v>
      </c>
      <c r="E48" s="52">
        <v>1337</v>
      </c>
      <c r="F48" s="53">
        <v>0</v>
      </c>
      <c r="G48" s="39"/>
      <c r="H48" s="49" t="s">
        <v>99</v>
      </c>
      <c r="I48" s="69">
        <f>--0.0763627091088342</f>
        <v>7.6362709108834206E-2</v>
      </c>
      <c r="J48" s="39"/>
      <c r="K48" s="2">
        <f t="shared" si="2"/>
        <v>8.7207290998581072E-2</v>
      </c>
      <c r="L48" s="2">
        <f t="shared" si="3"/>
        <v>-6.6816682667340851E-2</v>
      </c>
    </row>
    <row r="49" spans="2:12" x14ac:dyDescent="0.25">
      <c r="B49" s="49" t="s">
        <v>100</v>
      </c>
      <c r="C49" s="50">
        <v>1.7202692595362751E-2</v>
      </c>
      <c r="D49" s="51">
        <v>0.13007465057913029</v>
      </c>
      <c r="E49" s="52">
        <v>1337</v>
      </c>
      <c r="F49" s="53">
        <v>0</v>
      </c>
      <c r="G49" s="39"/>
      <c r="H49" s="49" t="s">
        <v>100</v>
      </c>
      <c r="I49" s="69">
        <f>--0.00597215711559129</f>
        <v>5.9721571155912897E-3</v>
      </c>
      <c r="J49" s="39"/>
      <c r="K49" s="2">
        <f t="shared" si="2"/>
        <v>4.5123472609522264E-2</v>
      </c>
      <c r="L49" s="2">
        <f t="shared" si="3"/>
        <v>-7.8983247337824347E-4</v>
      </c>
    </row>
    <row r="50" spans="2:12" x14ac:dyDescent="0.25">
      <c r="B50" s="49" t="s">
        <v>101</v>
      </c>
      <c r="C50" s="50">
        <v>0.11967090501121914</v>
      </c>
      <c r="D50" s="51">
        <v>0.32469775812344481</v>
      </c>
      <c r="E50" s="52">
        <v>1337</v>
      </c>
      <c r="F50" s="53">
        <v>0</v>
      </c>
      <c r="G50" s="39"/>
      <c r="H50" s="49" t="s">
        <v>101</v>
      </c>
      <c r="I50" s="69">
        <f>-0.0463653280818387</f>
        <v>-4.63653280818387E-2</v>
      </c>
      <c r="J50" s="39"/>
      <c r="K50" s="2">
        <f t="shared" si="2"/>
        <v>-0.12570689599164128</v>
      </c>
      <c r="L50" s="2">
        <f t="shared" si="3"/>
        <v>1.7088448053239252E-2</v>
      </c>
    </row>
    <row r="51" spans="2:12" x14ac:dyDescent="0.25">
      <c r="B51" s="49" t="s">
        <v>102</v>
      </c>
      <c r="C51" s="50">
        <v>0.38967838444278236</v>
      </c>
      <c r="D51" s="51">
        <v>0.48785977182490531</v>
      </c>
      <c r="E51" s="52">
        <v>1337</v>
      </c>
      <c r="F51" s="53">
        <v>0</v>
      </c>
      <c r="G51" s="39"/>
      <c r="H51" s="49" t="s">
        <v>102</v>
      </c>
      <c r="I51" s="69">
        <f>--0.0508632400282551</f>
        <v>5.0863240028255097E-2</v>
      </c>
      <c r="J51" s="39"/>
      <c r="K51" s="2">
        <f t="shared" si="2"/>
        <v>6.3630855871552802E-2</v>
      </c>
      <c r="L51" s="2">
        <f t="shared" si="3"/>
        <v>-4.0627053810145856E-2</v>
      </c>
    </row>
    <row r="52" spans="2:12" x14ac:dyDescent="0.25">
      <c r="B52" s="49" t="s">
        <v>103</v>
      </c>
      <c r="C52" s="50">
        <v>0.98429319371727753</v>
      </c>
      <c r="D52" s="51">
        <v>0.12438518582268022</v>
      </c>
      <c r="E52" s="52">
        <v>1337</v>
      </c>
      <c r="F52" s="53">
        <v>0</v>
      </c>
      <c r="G52" s="39"/>
      <c r="H52" s="49" t="s">
        <v>103</v>
      </c>
      <c r="I52" s="69">
        <f>--0.0210374773281861</f>
        <v>2.1037477328186099E-2</v>
      </c>
      <c r="J52" s="39"/>
      <c r="K52" s="2">
        <f t="shared" si="2"/>
        <v>2.6565187717935992E-3</v>
      </c>
      <c r="L52" s="2">
        <f t="shared" si="3"/>
        <v>-0.16647517636573261</v>
      </c>
    </row>
    <row r="53" spans="2:12" x14ac:dyDescent="0.25">
      <c r="B53" s="49" t="s">
        <v>104</v>
      </c>
      <c r="C53" s="50">
        <v>0.712789827973074</v>
      </c>
      <c r="D53" s="51">
        <v>0.45262978581863583</v>
      </c>
      <c r="E53" s="52">
        <v>1337</v>
      </c>
      <c r="F53" s="53">
        <v>0</v>
      </c>
      <c r="G53" s="39"/>
      <c r="H53" s="49" t="s">
        <v>104</v>
      </c>
      <c r="I53" s="69">
        <f>-0.0355956082013656</f>
        <v>-3.5595608201365599E-2</v>
      </c>
      <c r="J53" s="39"/>
      <c r="K53" s="2">
        <f t="shared" si="2"/>
        <v>-2.2586716727947934E-2</v>
      </c>
      <c r="L53" s="2">
        <f t="shared" si="3"/>
        <v>5.6055054796183265E-2</v>
      </c>
    </row>
    <row r="54" spans="2:12" x14ac:dyDescent="0.25">
      <c r="B54" s="49" t="s">
        <v>105</v>
      </c>
      <c r="C54" s="50">
        <v>0.75841436050860134</v>
      </c>
      <c r="D54" s="51">
        <v>0.42820457787392069</v>
      </c>
      <c r="E54" s="52">
        <v>1337</v>
      </c>
      <c r="F54" s="53">
        <v>0</v>
      </c>
      <c r="G54" s="39"/>
      <c r="H54" s="49" t="s">
        <v>105</v>
      </c>
      <c r="I54" s="69">
        <f>--0.0537554450121808</f>
        <v>5.3755445012180797E-2</v>
      </c>
      <c r="J54" s="39"/>
      <c r="K54" s="2">
        <f t="shared" si="2"/>
        <v>3.0327895194142775E-2</v>
      </c>
      <c r="L54" s="2">
        <f t="shared" si="3"/>
        <v>-9.5208934138887841E-2</v>
      </c>
    </row>
    <row r="55" spans="2:12" x14ac:dyDescent="0.25">
      <c r="B55" s="49" t="s">
        <v>106</v>
      </c>
      <c r="C55" s="50">
        <v>0.15183246073298429</v>
      </c>
      <c r="D55" s="51">
        <v>0.35899269677908607</v>
      </c>
      <c r="E55" s="52">
        <v>1337</v>
      </c>
      <c r="F55" s="53">
        <v>0</v>
      </c>
      <c r="G55" s="39"/>
      <c r="H55" s="49" t="s">
        <v>106</v>
      </c>
      <c r="I55" s="69">
        <f>-0.0516152598888604</f>
        <v>-5.1615259888860399E-2</v>
      </c>
      <c r="J55" s="39"/>
      <c r="K55" s="2">
        <f t="shared" si="2"/>
        <v>-0.12194785119960867</v>
      </c>
      <c r="L55" s="2">
        <f t="shared" si="3"/>
        <v>2.1830170893757106E-2</v>
      </c>
    </row>
    <row r="56" spans="2:12" x14ac:dyDescent="0.25">
      <c r="B56" s="49" t="s">
        <v>107</v>
      </c>
      <c r="C56" s="50">
        <v>9.4988780852655191E-2</v>
      </c>
      <c r="D56" s="51">
        <v>0.29330915108051225</v>
      </c>
      <c r="E56" s="52">
        <v>1337</v>
      </c>
      <c r="F56" s="53">
        <v>0</v>
      </c>
      <c r="G56" s="39"/>
      <c r="H56" s="49" t="s">
        <v>107</v>
      </c>
      <c r="I56" s="69">
        <f>--0.0438118397368448</f>
        <v>4.3811839736844799E-2</v>
      </c>
      <c r="J56" s="39"/>
      <c r="K56" s="2">
        <f t="shared" si="2"/>
        <v>0.1351823028612093</v>
      </c>
      <c r="L56" s="2">
        <f t="shared" si="3"/>
        <v>-1.4188555754854195E-2</v>
      </c>
    </row>
    <row r="57" spans="2:12" x14ac:dyDescent="0.25">
      <c r="B57" s="49" t="s">
        <v>108</v>
      </c>
      <c r="C57" s="50">
        <v>7.4794315632011965E-4</v>
      </c>
      <c r="D57" s="51">
        <v>2.734854943722044E-2</v>
      </c>
      <c r="E57" s="52">
        <v>1337</v>
      </c>
      <c r="F57" s="53">
        <v>0</v>
      </c>
      <c r="G57" s="39"/>
      <c r="H57" s="49" t="s">
        <v>108</v>
      </c>
      <c r="I57" s="69">
        <f>-0.00104844133553551</f>
        <v>-1.04844133553551E-3</v>
      </c>
      <c r="J57" s="39"/>
      <c r="K57" s="2">
        <f t="shared" si="2"/>
        <v>-3.8307595195084365E-2</v>
      </c>
      <c r="L57" s="2">
        <f t="shared" si="3"/>
        <v>2.8673349696919437E-5</v>
      </c>
    </row>
    <row r="58" spans="2:12" x14ac:dyDescent="0.25">
      <c r="B58" s="49" t="s">
        <v>109</v>
      </c>
      <c r="C58" s="50">
        <v>0.4981301421091997</v>
      </c>
      <c r="D58" s="51">
        <v>0.50018359305651661</v>
      </c>
      <c r="E58" s="52">
        <v>1337</v>
      </c>
      <c r="F58" s="53">
        <v>0</v>
      </c>
      <c r="G58" s="39"/>
      <c r="H58" s="49" t="s">
        <v>109</v>
      </c>
      <c r="I58" s="69">
        <f>--0.0733506214092802</f>
        <v>7.3350621409280198E-2</v>
      </c>
      <c r="J58" s="39"/>
      <c r="K58" s="2">
        <f t="shared" si="2"/>
        <v>7.3597907756078357E-2</v>
      </c>
      <c r="L58" s="2">
        <f t="shared" si="3"/>
        <v>-7.3049488175183586E-2</v>
      </c>
    </row>
    <row r="59" spans="2:12" ht="23" x14ac:dyDescent="0.25">
      <c r="B59" s="49" t="s">
        <v>110</v>
      </c>
      <c r="C59" s="50">
        <v>0.11892296185489903</v>
      </c>
      <c r="D59" s="51">
        <v>0.32381896077914268</v>
      </c>
      <c r="E59" s="52">
        <v>1337</v>
      </c>
      <c r="F59" s="53">
        <v>0</v>
      </c>
      <c r="G59" s="39"/>
      <c r="H59" s="49" t="s">
        <v>110</v>
      </c>
      <c r="I59" s="69">
        <f>-0.037717951112108</f>
        <v>-3.7717951112108003E-2</v>
      </c>
      <c r="J59" s="39"/>
      <c r="K59" s="2">
        <f t="shared" ref="K59:K83" si="4">((1-C59)/D59)*I59</f>
        <v>-0.10262654345748352</v>
      </c>
      <c r="L59" s="2">
        <f t="shared" si="1"/>
        <v>1.3851969787555075E-2</v>
      </c>
    </row>
    <row r="60" spans="2:12" ht="23" x14ac:dyDescent="0.25">
      <c r="B60" s="49" t="s">
        <v>111</v>
      </c>
      <c r="C60" s="50">
        <v>1.1967090501121914E-2</v>
      </c>
      <c r="D60" s="51">
        <v>0.10877835012113647</v>
      </c>
      <c r="E60" s="52">
        <v>1337</v>
      </c>
      <c r="F60" s="53">
        <v>0</v>
      </c>
      <c r="G60" s="39"/>
      <c r="H60" s="49" t="s">
        <v>111</v>
      </c>
      <c r="I60" s="69">
        <f>-0.0191325846981208</f>
        <v>-1.9132584698120798E-2</v>
      </c>
      <c r="J60" s="39"/>
      <c r="K60" s="2">
        <f t="shared" si="4"/>
        <v>-0.17378111825070683</v>
      </c>
      <c r="L60" s="2">
        <f t="shared" si="1"/>
        <v>2.1048432187822175E-3</v>
      </c>
    </row>
    <row r="61" spans="2:12" ht="23" x14ac:dyDescent="0.25">
      <c r="B61" s="49" t="s">
        <v>112</v>
      </c>
      <c r="C61" s="50">
        <v>0.12116679132385939</v>
      </c>
      <c r="D61" s="51">
        <v>0.32644311088590167</v>
      </c>
      <c r="E61" s="52">
        <v>1337</v>
      </c>
      <c r="F61" s="53">
        <v>0</v>
      </c>
      <c r="G61" s="39"/>
      <c r="H61" s="49" t="s">
        <v>112</v>
      </c>
      <c r="I61" s="69">
        <f>--0.0535252332186623</f>
        <v>5.3525233218662302E-2</v>
      </c>
      <c r="J61" s="39"/>
      <c r="K61" s="2">
        <f t="shared" si="4"/>
        <v>0.14409785621463786</v>
      </c>
      <c r="L61" s="2">
        <f t="shared" si="1"/>
        <v>-1.9867108686613903E-2</v>
      </c>
    </row>
    <row r="62" spans="2:12" ht="23" x14ac:dyDescent="0.25">
      <c r="B62" s="49" t="s">
        <v>113</v>
      </c>
      <c r="C62" s="50">
        <v>0.74569932685115936</v>
      </c>
      <c r="D62" s="51">
        <v>0.435630325833128</v>
      </c>
      <c r="E62" s="52">
        <v>1337</v>
      </c>
      <c r="F62" s="53">
        <v>0</v>
      </c>
      <c r="G62" s="39"/>
      <c r="H62" s="49" t="s">
        <v>113</v>
      </c>
      <c r="I62" s="69">
        <f>-0.00751716039789764</f>
        <v>-7.5171603978976403E-3</v>
      </c>
      <c r="J62" s="39"/>
      <c r="K62" s="2">
        <f t="shared" si="4"/>
        <v>-4.3881677559918977E-3</v>
      </c>
      <c r="L62" s="2">
        <f t="shared" si="1"/>
        <v>1.2867656625658599E-2</v>
      </c>
    </row>
    <row r="63" spans="2:12" ht="23" x14ac:dyDescent="0.25">
      <c r="B63" s="49" t="s">
        <v>114</v>
      </c>
      <c r="C63" s="50">
        <v>1.4958863126402393E-3</v>
      </c>
      <c r="D63" s="51">
        <v>3.8662212006771605E-2</v>
      </c>
      <c r="E63" s="52">
        <v>1337</v>
      </c>
      <c r="F63" s="53">
        <v>0</v>
      </c>
      <c r="G63" s="39"/>
      <c r="H63" s="49" t="s">
        <v>114</v>
      </c>
      <c r="I63" s="69">
        <f>--0.0022796840732213</f>
        <v>2.2796840732212998E-3</v>
      </c>
      <c r="J63" s="39"/>
      <c r="K63" s="2">
        <f t="shared" si="4"/>
        <v>5.8875936136823723E-2</v>
      </c>
      <c r="L63" s="2">
        <f t="shared" si="1"/>
        <v>-8.8203649643181598E-5</v>
      </c>
    </row>
    <row r="64" spans="2:12" ht="23" x14ac:dyDescent="0.25">
      <c r="B64" s="49" t="s">
        <v>115</v>
      </c>
      <c r="C64" s="50">
        <v>7.4794315632011965E-4</v>
      </c>
      <c r="D64" s="51">
        <v>2.7348549437220902E-2</v>
      </c>
      <c r="E64" s="52">
        <v>1337</v>
      </c>
      <c r="F64" s="53">
        <v>0</v>
      </c>
      <c r="G64" s="39"/>
      <c r="H64" s="49" t="s">
        <v>115</v>
      </c>
      <c r="I64" s="69">
        <f>-0.0029148262159421</f>
        <v>-2.9148262159420998E-3</v>
      </c>
      <c r="J64" s="39"/>
      <c r="K64" s="2">
        <f t="shared" si="4"/>
        <v>-0.10650093520711422</v>
      </c>
      <c r="L64" s="2">
        <f t="shared" si="1"/>
        <v>7.9716268867600473E-5</v>
      </c>
    </row>
    <row r="65" spans="2:12" ht="34.5" x14ac:dyDescent="0.25">
      <c r="B65" s="49" t="s">
        <v>116</v>
      </c>
      <c r="C65" s="50">
        <v>1.0471204188481676E-2</v>
      </c>
      <c r="D65" s="51">
        <v>0.10182982730302366</v>
      </c>
      <c r="E65" s="52">
        <v>1337</v>
      </c>
      <c r="F65" s="53">
        <v>0</v>
      </c>
      <c r="G65" s="39"/>
      <c r="H65" s="49" t="s">
        <v>116</v>
      </c>
      <c r="I65" s="69">
        <f>-0.0245398177321939</f>
        <v>-2.4539817732193901E-2</v>
      </c>
      <c r="J65" s="39"/>
      <c r="K65" s="2">
        <f t="shared" si="4"/>
        <v>-0.23846506404956791</v>
      </c>
      <c r="L65" s="2">
        <f t="shared" si="1"/>
        <v>2.5234398312123586E-3</v>
      </c>
    </row>
    <row r="66" spans="2:12" ht="23" x14ac:dyDescent="0.25">
      <c r="B66" s="49" t="s">
        <v>117</v>
      </c>
      <c r="C66" s="50">
        <v>5.235602094240838E-3</v>
      </c>
      <c r="D66" s="51">
        <v>7.2194798366521845E-2</v>
      </c>
      <c r="E66" s="52">
        <v>1337</v>
      </c>
      <c r="F66" s="53">
        <v>0</v>
      </c>
      <c r="G66" s="39"/>
      <c r="H66" s="49" t="s">
        <v>117</v>
      </c>
      <c r="I66" s="69">
        <f>-0.0190036283415448</f>
        <v>-1.9003628341544801E-2</v>
      </c>
      <c r="J66" s="39"/>
      <c r="K66" s="2">
        <f t="shared" si="4"/>
        <v>-0.26184896049197715</v>
      </c>
      <c r="L66" s="2">
        <f t="shared" si="1"/>
        <v>1.3781524236419851E-3</v>
      </c>
    </row>
    <row r="67" spans="2:12" ht="23" x14ac:dyDescent="0.25">
      <c r="B67" s="49" t="s">
        <v>118</v>
      </c>
      <c r="C67" s="50">
        <v>2.9917726252804786E-3</v>
      </c>
      <c r="D67" s="51">
        <v>5.4635652947304075E-2</v>
      </c>
      <c r="E67" s="52">
        <v>1337</v>
      </c>
      <c r="F67" s="53">
        <v>0</v>
      </c>
      <c r="G67" s="39"/>
      <c r="H67" s="49" t="s">
        <v>118</v>
      </c>
      <c r="I67" s="69">
        <f>-0.0127857722019807</f>
        <v>-1.27857722019807E-2</v>
      </c>
      <c r="J67" s="39"/>
      <c r="K67" s="2">
        <f t="shared" si="4"/>
        <v>-0.23331871023869133</v>
      </c>
      <c r="L67" s="2">
        <f t="shared" si="1"/>
        <v>7.001311635069507E-4</v>
      </c>
    </row>
    <row r="68" spans="2:12" ht="34.5" x14ac:dyDescent="0.25">
      <c r="B68" s="49" t="s">
        <v>119</v>
      </c>
      <c r="C68" s="50">
        <v>3.7397157816005983E-3</v>
      </c>
      <c r="D68" s="51">
        <v>6.1061600271885334E-2</v>
      </c>
      <c r="E68" s="52">
        <v>1337</v>
      </c>
      <c r="F68" s="53">
        <v>0</v>
      </c>
      <c r="G68" s="39"/>
      <c r="H68" s="49" t="s">
        <v>119</v>
      </c>
      <c r="I68" s="69">
        <f>-0.00470454580746651</f>
        <v>-4.7045458074665104E-3</v>
      </c>
      <c r="J68" s="39"/>
      <c r="K68" s="2">
        <f t="shared" si="4"/>
        <v>-7.6757767932641024E-2</v>
      </c>
      <c r="L68" s="2">
        <f t="shared" si="1"/>
        <v>2.8812975950691079E-4</v>
      </c>
    </row>
    <row r="69" spans="2:12" ht="23" x14ac:dyDescent="0.25">
      <c r="B69" s="49" t="s">
        <v>120</v>
      </c>
      <c r="C69" s="50">
        <v>0.95287958115183247</v>
      </c>
      <c r="D69" s="51">
        <v>0.21197568922821583</v>
      </c>
      <c r="E69" s="52">
        <v>1337</v>
      </c>
      <c r="F69" s="53">
        <v>0</v>
      </c>
      <c r="G69" s="39"/>
      <c r="H69" s="49" t="s">
        <v>120</v>
      </c>
      <c r="I69" s="69">
        <f>--0.0134881440511523</f>
        <v>1.34881440511523E-2</v>
      </c>
      <c r="J69" s="39"/>
      <c r="K69" s="2">
        <f t="shared" si="4"/>
        <v>2.9983013594094545E-3</v>
      </c>
      <c r="L69" s="2">
        <f t="shared" si="1"/>
        <v>-6.063231637916898E-2</v>
      </c>
    </row>
    <row r="70" spans="2:12" ht="23" x14ac:dyDescent="0.25">
      <c r="B70" s="49" t="s">
        <v>121</v>
      </c>
      <c r="C70" s="50">
        <v>6.7314884068810773E-3</v>
      </c>
      <c r="D70" s="51">
        <v>8.1799633819886725E-2</v>
      </c>
      <c r="E70" s="52">
        <v>1337</v>
      </c>
      <c r="F70" s="53">
        <v>0</v>
      </c>
      <c r="G70" s="39"/>
      <c r="H70" s="49" t="s">
        <v>121</v>
      </c>
      <c r="I70" s="69">
        <f>--0.00234629535941888</f>
        <v>2.3462953594188801E-3</v>
      </c>
      <c r="J70" s="39"/>
      <c r="K70" s="2">
        <f t="shared" si="4"/>
        <v>2.8490363472033695E-2</v>
      </c>
      <c r="L70" s="2">
        <f t="shared" si="1"/>
        <v>-1.9308228256649344E-4</v>
      </c>
    </row>
    <row r="71" spans="2:12" ht="23" x14ac:dyDescent="0.25">
      <c r="B71" s="49" t="s">
        <v>122</v>
      </c>
      <c r="C71" s="50">
        <v>1.6454749439042633E-2</v>
      </c>
      <c r="D71" s="51">
        <v>0.12726391643119161</v>
      </c>
      <c r="E71" s="52">
        <v>1337</v>
      </c>
      <c r="F71" s="53">
        <v>0</v>
      </c>
      <c r="G71" s="39"/>
      <c r="H71" s="49" t="s">
        <v>122</v>
      </c>
      <c r="I71" s="69">
        <f>--0.0147464082854867</f>
        <v>1.4746408285486699E-2</v>
      </c>
      <c r="J71" s="39"/>
      <c r="K71" s="2">
        <f t="shared" si="4"/>
        <v>0.1139660026089564</v>
      </c>
      <c r="L71" s="2">
        <f t="shared" si="1"/>
        <v>-1.9066555569559247E-3</v>
      </c>
    </row>
    <row r="72" spans="2:12" ht="34.5" x14ac:dyDescent="0.25">
      <c r="B72" s="49" t="s">
        <v>123</v>
      </c>
      <c r="C72" s="50">
        <v>2.3186237845923711E-2</v>
      </c>
      <c r="D72" s="51">
        <v>0.1505509508189764</v>
      </c>
      <c r="E72" s="52">
        <v>1337</v>
      </c>
      <c r="F72" s="53">
        <v>0</v>
      </c>
      <c r="G72" s="39"/>
      <c r="H72" s="49" t="s">
        <v>123</v>
      </c>
      <c r="I72" s="69">
        <f>-0.0215696719131351</f>
        <v>-2.1569671913135101E-2</v>
      </c>
      <c r="J72" s="39"/>
      <c r="K72" s="2">
        <f t="shared" si="4"/>
        <v>-0.13994964664974319</v>
      </c>
      <c r="L72" s="2">
        <f t="shared" ref="L72:L103" si="5">((0-C72)/D72)*I72</f>
        <v>3.3219288255298914E-3</v>
      </c>
    </row>
    <row r="73" spans="2:12" ht="23" x14ac:dyDescent="0.25">
      <c r="B73" s="49" t="s">
        <v>125</v>
      </c>
      <c r="C73" s="50">
        <v>0.23036649214659685</v>
      </c>
      <c r="D73" s="51">
        <v>0.42122497475271375</v>
      </c>
      <c r="E73" s="52">
        <v>1337</v>
      </c>
      <c r="F73" s="53">
        <v>0</v>
      </c>
      <c r="G73" s="39"/>
      <c r="H73" s="49" t="s">
        <v>125</v>
      </c>
      <c r="I73" s="69">
        <f>-0.067230349560915</f>
        <v>-6.7230349560915004E-2</v>
      </c>
      <c r="J73" s="39"/>
      <c r="K73" s="2">
        <f t="shared" si="4"/>
        <v>-0.12283870346755635</v>
      </c>
      <c r="L73" s="2">
        <f t="shared" si="5"/>
        <v>3.6768047296411421E-2</v>
      </c>
    </row>
    <row r="74" spans="2:12" ht="34.5" x14ac:dyDescent="0.25">
      <c r="B74" s="49" t="s">
        <v>126</v>
      </c>
      <c r="C74" s="50">
        <v>7.4794315632011965E-3</v>
      </c>
      <c r="D74" s="51">
        <v>8.6191914765447464E-2</v>
      </c>
      <c r="E74" s="52">
        <v>1337</v>
      </c>
      <c r="F74" s="53">
        <v>0</v>
      </c>
      <c r="G74" s="39"/>
      <c r="H74" s="49" t="s">
        <v>126</v>
      </c>
      <c r="I74" s="69">
        <f>-0.0224883412876533</f>
        <v>-2.2488341287653299E-2</v>
      </c>
      <c r="J74" s="39"/>
      <c r="K74" s="2">
        <f t="shared" si="4"/>
        <v>-0.25895864291635462</v>
      </c>
      <c r="L74" s="2">
        <f t="shared" si="5"/>
        <v>1.9514592533259581E-3</v>
      </c>
    </row>
    <row r="75" spans="2:12" ht="46" x14ac:dyDescent="0.25">
      <c r="B75" s="49" t="s">
        <v>127</v>
      </c>
      <c r="C75" s="50">
        <v>5.9835452505609572E-3</v>
      </c>
      <c r="D75" s="51">
        <v>7.7150465583928227E-2</v>
      </c>
      <c r="E75" s="52">
        <v>1337</v>
      </c>
      <c r="F75" s="53">
        <v>0</v>
      </c>
      <c r="G75" s="39"/>
      <c r="H75" s="49" t="s">
        <v>127</v>
      </c>
      <c r="I75" s="69">
        <f>-0.00846784446989564</f>
        <v>-8.4678444698956402E-3</v>
      </c>
      <c r="J75" s="39"/>
      <c r="K75" s="2">
        <f t="shared" si="4"/>
        <v>-0.10910078993857363</v>
      </c>
      <c r="L75" s="2">
        <f t="shared" si="5"/>
        <v>6.5673914184242966E-4</v>
      </c>
    </row>
    <row r="76" spans="2:12" ht="34.5" x14ac:dyDescent="0.25">
      <c r="B76" s="49" t="s">
        <v>128</v>
      </c>
      <c r="C76" s="50">
        <v>0.44577412116679133</v>
      </c>
      <c r="D76" s="51">
        <v>0.49723684384876665</v>
      </c>
      <c r="E76" s="52">
        <v>1337</v>
      </c>
      <c r="F76" s="53">
        <v>0</v>
      </c>
      <c r="G76" s="39"/>
      <c r="H76" s="49" t="s">
        <v>128</v>
      </c>
      <c r="I76" s="69">
        <f>--0.0434563978768486</f>
        <v>4.3456397876848601E-2</v>
      </c>
      <c r="J76" s="39"/>
      <c r="K76" s="2">
        <f t="shared" si="4"/>
        <v>4.8436998589644509E-2</v>
      </c>
      <c r="L76" s="2">
        <f t="shared" si="5"/>
        <v>-3.8958773494504897E-2</v>
      </c>
    </row>
    <row r="77" spans="2:12" ht="34.5" x14ac:dyDescent="0.25">
      <c r="B77" s="49" t="s">
        <v>129</v>
      </c>
      <c r="C77" s="50">
        <v>1.0471204188481676E-2</v>
      </c>
      <c r="D77" s="51">
        <v>0.1018298273030244</v>
      </c>
      <c r="E77" s="52">
        <v>1337</v>
      </c>
      <c r="F77" s="53">
        <v>0</v>
      </c>
      <c r="G77" s="39"/>
      <c r="H77" s="49" t="s">
        <v>129</v>
      </c>
      <c r="I77" s="69">
        <f>--0.00261293921249631</f>
        <v>2.6129392124963099E-3</v>
      </c>
      <c r="J77" s="39"/>
      <c r="K77" s="2">
        <f t="shared" si="4"/>
        <v>2.5391171338983283E-2</v>
      </c>
      <c r="L77" s="2">
        <f t="shared" si="5"/>
        <v>-2.6868964379876491E-4</v>
      </c>
    </row>
    <row r="78" spans="2:12" ht="34.5" x14ac:dyDescent="0.25">
      <c r="B78" s="49" t="s">
        <v>130</v>
      </c>
      <c r="C78" s="50">
        <v>0.25579655946148094</v>
      </c>
      <c r="D78" s="51">
        <v>0.43647126842645823</v>
      </c>
      <c r="E78" s="52">
        <v>1337</v>
      </c>
      <c r="F78" s="53">
        <v>0</v>
      </c>
      <c r="G78" s="39"/>
      <c r="H78" s="49" t="s">
        <v>130</v>
      </c>
      <c r="I78" s="69">
        <f>--0.0241294826599943</f>
        <v>2.41294826599943E-2</v>
      </c>
      <c r="J78" s="39"/>
      <c r="K78" s="2">
        <f t="shared" si="4"/>
        <v>4.1141869609701329E-2</v>
      </c>
      <c r="L78" s="2">
        <f t="shared" si="5"/>
        <v>-1.4141225534188801E-2</v>
      </c>
    </row>
    <row r="79" spans="2:12" ht="34.5" x14ac:dyDescent="0.25">
      <c r="B79" s="49" t="s">
        <v>131</v>
      </c>
      <c r="C79" s="50">
        <v>1.8698578908002993E-2</v>
      </c>
      <c r="D79" s="51">
        <v>0.13550895281452524</v>
      </c>
      <c r="E79" s="52">
        <v>1337</v>
      </c>
      <c r="F79" s="53">
        <v>0</v>
      </c>
      <c r="G79" s="39"/>
      <c r="H79" s="49" t="s">
        <v>131</v>
      </c>
      <c r="I79" s="69">
        <f>--0.0107852582106961</f>
        <v>1.07852582106961E-2</v>
      </c>
      <c r="J79" s="39"/>
      <c r="K79" s="2">
        <f t="shared" si="4"/>
        <v>7.8102509016406141E-2</v>
      </c>
      <c r="L79" s="2">
        <f t="shared" si="5"/>
        <v>-1.4882337846113976E-3</v>
      </c>
    </row>
    <row r="80" spans="2:12" ht="23" x14ac:dyDescent="0.25">
      <c r="B80" s="49" t="s">
        <v>132</v>
      </c>
      <c r="C80" s="50">
        <v>1.4958863126402393E-3</v>
      </c>
      <c r="D80" s="51">
        <v>3.8662212006771585E-2</v>
      </c>
      <c r="E80" s="52">
        <v>1337</v>
      </c>
      <c r="F80" s="53">
        <v>0</v>
      </c>
      <c r="G80" s="39"/>
      <c r="H80" s="49" t="s">
        <v>132</v>
      </c>
      <c r="I80" s="69">
        <f>--0.00729150046677335</f>
        <v>7.2915004667733502E-3</v>
      </c>
      <c r="J80" s="39"/>
      <c r="K80" s="2">
        <f t="shared" si="4"/>
        <v>0.18831289864509868</v>
      </c>
      <c r="L80" s="2">
        <f t="shared" si="5"/>
        <v>-2.8211670209003542E-4</v>
      </c>
    </row>
    <row r="81" spans="2:12" ht="23" x14ac:dyDescent="0.25">
      <c r="B81" s="49" t="s">
        <v>133</v>
      </c>
      <c r="C81" s="54">
        <v>2.1904047976011993</v>
      </c>
      <c r="D81" s="55">
        <v>1.1463418716437064</v>
      </c>
      <c r="E81" s="52">
        <v>1337</v>
      </c>
      <c r="F81" s="53">
        <v>3</v>
      </c>
      <c r="G81" s="39"/>
      <c r="H81" s="49" t="s">
        <v>133</v>
      </c>
      <c r="I81" s="69">
        <f>-0.0262458920504855</f>
        <v>-2.6245892050485501E-2</v>
      </c>
      <c r="J81" s="39"/>
      <c r="K81" s="2">
        <f t="shared" si="4"/>
        <v>2.7254727919361742E-2</v>
      </c>
      <c r="L81" s="2">
        <f t="shared" si="5"/>
        <v>5.0150072405777714E-2</v>
      </c>
    </row>
    <row r="82" spans="2:12" x14ac:dyDescent="0.25">
      <c r="B82" s="49" t="s">
        <v>134</v>
      </c>
      <c r="C82" s="56">
        <v>8.6761406133133878E-2</v>
      </c>
      <c r="D82" s="57">
        <v>0.28159043187539429</v>
      </c>
      <c r="E82" s="52">
        <v>1337</v>
      </c>
      <c r="F82" s="53">
        <v>0</v>
      </c>
      <c r="G82" s="39"/>
      <c r="H82" s="49" t="s">
        <v>134</v>
      </c>
      <c r="I82" s="69">
        <f>-0.0486747407776887</f>
        <v>-4.8674740777688699E-2</v>
      </c>
      <c r="J82" s="39"/>
      <c r="K82" s="2">
        <f t="shared" si="4"/>
        <v>-0.15785924091455208</v>
      </c>
      <c r="L82" s="2">
        <f t="shared" si="5"/>
        <v>1.4997274321120429E-2</v>
      </c>
    </row>
    <row r="83" spans="2:12" x14ac:dyDescent="0.25">
      <c r="B83" s="49" t="s">
        <v>135</v>
      </c>
      <c r="C83" s="56">
        <v>1.7950635751682872E-2</v>
      </c>
      <c r="D83" s="57">
        <v>0.13282170510040062</v>
      </c>
      <c r="E83" s="52">
        <v>1337</v>
      </c>
      <c r="F83" s="53">
        <v>0</v>
      </c>
      <c r="G83" s="39"/>
      <c r="H83" s="49" t="s">
        <v>135</v>
      </c>
      <c r="I83" s="69">
        <f>-0.014582153266214</f>
        <v>-1.4582153266213999E-2</v>
      </c>
      <c r="J83" s="39"/>
      <c r="K83" s="2">
        <f t="shared" si="4"/>
        <v>-0.10781667298753708</v>
      </c>
      <c r="L83" s="2">
        <f t="shared" si="5"/>
        <v>1.9707541140143868E-3</v>
      </c>
    </row>
    <row r="84" spans="2:12" x14ac:dyDescent="0.25">
      <c r="B84" s="49" t="s">
        <v>136</v>
      </c>
      <c r="C84" s="56">
        <v>2.0194465220643231E-2</v>
      </c>
      <c r="D84" s="57">
        <v>0.14071765760187993</v>
      </c>
      <c r="E84" s="52">
        <v>1337</v>
      </c>
      <c r="F84" s="53">
        <v>0</v>
      </c>
      <c r="G84" s="39"/>
      <c r="H84" s="49" t="s">
        <v>136</v>
      </c>
      <c r="I84" s="69">
        <f>-0.0164050207111386</f>
        <v>-1.6405020711138599E-2</v>
      </c>
      <c r="J84" s="39"/>
      <c r="K84" s="2">
        <f t="shared" ref="K84:K103" si="6">((1-C84)/D84)*I84</f>
        <v>-0.11422681676822367</v>
      </c>
      <c r="L84" s="2">
        <f t="shared" si="5"/>
        <v>2.3542931700320912E-3</v>
      </c>
    </row>
    <row r="85" spans="2:12" x14ac:dyDescent="0.25">
      <c r="B85" s="49" t="s">
        <v>137</v>
      </c>
      <c r="C85" s="56">
        <v>0.22288706058339566</v>
      </c>
      <c r="D85" s="57">
        <v>0.41633888339663072</v>
      </c>
      <c r="E85" s="52">
        <v>1337</v>
      </c>
      <c r="F85" s="53">
        <v>0</v>
      </c>
      <c r="G85" s="39"/>
      <c r="H85" s="49" t="s">
        <v>137</v>
      </c>
      <c r="I85" s="69">
        <f>-0.0524447857682424</f>
        <v>-5.2444785768242401E-2</v>
      </c>
      <c r="J85" s="39"/>
      <c r="K85" s="2">
        <f t="shared" si="6"/>
        <v>-9.7890260196059231E-2</v>
      </c>
      <c r="L85" s="2">
        <f t="shared" si="5"/>
        <v>2.807632101869649E-2</v>
      </c>
    </row>
    <row r="86" spans="2:12" x14ac:dyDescent="0.25">
      <c r="B86" s="49" t="s">
        <v>138</v>
      </c>
      <c r="C86" s="56">
        <v>9.1997008227374721E-2</v>
      </c>
      <c r="D86" s="57">
        <v>0.28912987362667825</v>
      </c>
      <c r="E86" s="52">
        <v>1337</v>
      </c>
      <c r="F86" s="53">
        <v>0</v>
      </c>
      <c r="G86" s="39"/>
      <c r="H86" s="49" t="s">
        <v>138</v>
      </c>
      <c r="I86" s="69">
        <f>-0.0374724348929304</f>
        <v>-3.7472434892930402E-2</v>
      </c>
      <c r="J86" s="39"/>
      <c r="K86" s="2">
        <f t="shared" si="6"/>
        <v>-0.11768096656701267</v>
      </c>
      <c r="L86" s="2">
        <f t="shared" si="5"/>
        <v>1.192319512993621E-2</v>
      </c>
    </row>
    <row r="87" spans="2:12" x14ac:dyDescent="0.25">
      <c r="B87" s="49" t="s">
        <v>139</v>
      </c>
      <c r="C87" s="56">
        <v>1.1967090501121914E-2</v>
      </c>
      <c r="D87" s="57">
        <v>0.10877835012113653</v>
      </c>
      <c r="E87" s="52">
        <v>1337</v>
      </c>
      <c r="F87" s="53">
        <v>0</v>
      </c>
      <c r="G87" s="39"/>
      <c r="H87" s="49" t="s">
        <v>139</v>
      </c>
      <c r="I87" s="69">
        <f>-0.0209297131110128</f>
        <v>-2.0929713111012799E-2</v>
      </c>
      <c r="J87" s="39"/>
      <c r="K87" s="2">
        <f t="shared" si="6"/>
        <v>-0.19010442167050889</v>
      </c>
      <c r="L87" s="2">
        <f t="shared" si="5"/>
        <v>2.3025516629281927E-3</v>
      </c>
    </row>
    <row r="88" spans="2:12" ht="23" x14ac:dyDescent="0.25">
      <c r="B88" s="49" t="s">
        <v>140</v>
      </c>
      <c r="C88" s="56">
        <v>0.14734480179506357</v>
      </c>
      <c r="D88" s="57">
        <v>0.35458193529437548</v>
      </c>
      <c r="E88" s="52">
        <v>1337</v>
      </c>
      <c r="F88" s="53">
        <v>0</v>
      </c>
      <c r="G88" s="39"/>
      <c r="H88" s="49" t="s">
        <v>140</v>
      </c>
      <c r="I88" s="69">
        <f>-0.0665576835572128</f>
        <v>-6.6557683557212796E-2</v>
      </c>
      <c r="J88" s="39"/>
      <c r="K88" s="2">
        <f t="shared" si="6"/>
        <v>-0.16004976344444052</v>
      </c>
      <c r="L88" s="2">
        <f t="shared" si="5"/>
        <v>2.765772227943402E-2</v>
      </c>
    </row>
    <row r="89" spans="2:12" ht="23" x14ac:dyDescent="0.25">
      <c r="B89" s="49" t="s">
        <v>141</v>
      </c>
      <c r="C89" s="56">
        <v>2.9917726252804786E-3</v>
      </c>
      <c r="D89" s="57">
        <v>5.4635652947304228E-2</v>
      </c>
      <c r="E89" s="52">
        <v>1337</v>
      </c>
      <c r="F89" s="53">
        <v>0</v>
      </c>
      <c r="G89" s="39"/>
      <c r="H89" s="49" t="s">
        <v>141</v>
      </c>
      <c r="I89" s="69">
        <f>-0.00821114662822129</f>
        <v>-8.21114662822129E-3</v>
      </c>
      <c r="J89" s="39"/>
      <c r="K89" s="2">
        <f t="shared" si="6"/>
        <v>-0.14983953339795761</v>
      </c>
      <c r="L89" s="2">
        <f t="shared" si="5"/>
        <v>4.4963100794585928E-4</v>
      </c>
    </row>
    <row r="90" spans="2:12" x14ac:dyDescent="0.25">
      <c r="B90" s="49" t="s">
        <v>143</v>
      </c>
      <c r="C90" s="56">
        <v>0.11593118922961855</v>
      </c>
      <c r="D90" s="57">
        <v>0.32026217935467838</v>
      </c>
      <c r="E90" s="52">
        <v>1337</v>
      </c>
      <c r="F90" s="53">
        <v>0</v>
      </c>
      <c r="G90" s="39"/>
      <c r="H90" s="49" t="s">
        <v>143</v>
      </c>
      <c r="I90" s="69">
        <f>-0.0456978122297663</f>
        <v>-4.5697812229766301E-2</v>
      </c>
      <c r="J90" s="39"/>
      <c r="K90" s="2">
        <f t="shared" si="6"/>
        <v>-0.12614667955542819</v>
      </c>
      <c r="L90" s="2">
        <f t="shared" si="5"/>
        <v>1.6542077268266814E-2</v>
      </c>
    </row>
    <row r="91" spans="2:12" x14ac:dyDescent="0.25">
      <c r="B91" s="49" t="s">
        <v>144</v>
      </c>
      <c r="C91" s="56">
        <v>4.2632759910246822E-2</v>
      </c>
      <c r="D91" s="57">
        <v>0.20210333494982663</v>
      </c>
      <c r="E91" s="52">
        <v>1337</v>
      </c>
      <c r="F91" s="53">
        <v>0</v>
      </c>
      <c r="G91" s="39"/>
      <c r="H91" s="49" t="s">
        <v>144</v>
      </c>
      <c r="I91" s="69">
        <f>-0.029744209173065</f>
        <v>-2.9744209173065E-2</v>
      </c>
      <c r="J91" s="39"/>
      <c r="K91" s="2">
        <f t="shared" si="6"/>
        <v>-0.14089886963883566</v>
      </c>
      <c r="L91" s="2">
        <f t="shared" si="5"/>
        <v>6.2744027886043998E-3</v>
      </c>
    </row>
    <row r="92" spans="2:12" x14ac:dyDescent="0.25">
      <c r="B92" s="49" t="s">
        <v>145</v>
      </c>
      <c r="C92" s="56">
        <v>3.9640987284966345E-2</v>
      </c>
      <c r="D92" s="57">
        <v>0.19518728085152237</v>
      </c>
      <c r="E92" s="52">
        <v>1337</v>
      </c>
      <c r="F92" s="53">
        <v>0</v>
      </c>
      <c r="G92" s="39"/>
      <c r="H92" s="49" t="s">
        <v>145</v>
      </c>
      <c r="I92" s="69">
        <f>-0.0298987411693474</f>
        <v>-2.98987411693474E-2</v>
      </c>
      <c r="J92" s="39"/>
      <c r="K92" s="2">
        <f t="shared" si="6"/>
        <v>-0.14710756472220637</v>
      </c>
      <c r="L92" s="2">
        <f t="shared" si="5"/>
        <v>6.0721969861969923E-3</v>
      </c>
    </row>
    <row r="93" spans="2:12" x14ac:dyDescent="0.25">
      <c r="B93" s="49" t="s">
        <v>146</v>
      </c>
      <c r="C93" s="56">
        <v>0.12715033657442035</v>
      </c>
      <c r="D93" s="57">
        <v>0.33326595938887577</v>
      </c>
      <c r="E93" s="52">
        <v>1337</v>
      </c>
      <c r="F93" s="53">
        <v>0</v>
      </c>
      <c r="G93" s="39"/>
      <c r="H93" s="49" t="s">
        <v>146</v>
      </c>
      <c r="I93" s="69">
        <f>-0.0413471311437495</f>
        <v>-4.1347131143749501E-2</v>
      </c>
      <c r="J93" s="39"/>
      <c r="K93" s="2">
        <f t="shared" si="6"/>
        <v>-0.10829137655887371</v>
      </c>
      <c r="L93" s="2">
        <f t="shared" si="5"/>
        <v>1.5775093414745953E-2</v>
      </c>
    </row>
    <row r="94" spans="2:12" x14ac:dyDescent="0.25">
      <c r="B94" s="49" t="s">
        <v>147</v>
      </c>
      <c r="C94" s="56">
        <v>6.1331338818249814E-2</v>
      </c>
      <c r="D94" s="57">
        <v>0.24002686697313741</v>
      </c>
      <c r="E94" s="52">
        <v>1337</v>
      </c>
      <c r="F94" s="53">
        <v>0</v>
      </c>
      <c r="G94" s="39"/>
      <c r="H94" s="49" t="s">
        <v>147</v>
      </c>
      <c r="I94" s="69">
        <f>-0.025777443042634</f>
        <v>-2.5777443042634001E-2</v>
      </c>
      <c r="J94" s="39"/>
      <c r="K94" s="2">
        <f t="shared" si="6"/>
        <v>-0.10080737316887958</v>
      </c>
      <c r="L94" s="2">
        <f t="shared" si="5"/>
        <v>6.5866172110343631E-3</v>
      </c>
    </row>
    <row r="95" spans="2:12" x14ac:dyDescent="0.25">
      <c r="B95" s="49" t="s">
        <v>148</v>
      </c>
      <c r="C95" s="56">
        <v>3.1413612565445025E-2</v>
      </c>
      <c r="D95" s="57">
        <v>0.1744980574678926</v>
      </c>
      <c r="E95" s="52">
        <v>1337</v>
      </c>
      <c r="F95" s="53">
        <v>0</v>
      </c>
      <c r="G95" s="39"/>
      <c r="H95" s="49" t="s">
        <v>148</v>
      </c>
      <c r="I95" s="69">
        <f>-0.0191768279441812</f>
        <v>-1.9176827944181199E-2</v>
      </c>
      <c r="J95" s="39"/>
      <c r="K95" s="2">
        <f t="shared" si="6"/>
        <v>-0.10644482105095157</v>
      </c>
      <c r="L95" s="2">
        <f t="shared" si="5"/>
        <v>3.4522644665173478E-3</v>
      </c>
    </row>
    <row r="96" spans="2:12" ht="23" x14ac:dyDescent="0.25">
      <c r="B96" s="49" t="s">
        <v>149</v>
      </c>
      <c r="C96" s="56">
        <v>0.20119670905011219</v>
      </c>
      <c r="D96" s="57">
        <v>0.40104474833714415</v>
      </c>
      <c r="E96" s="52">
        <v>1337</v>
      </c>
      <c r="F96" s="53">
        <v>0</v>
      </c>
      <c r="G96" s="39"/>
      <c r="H96" s="49" t="s">
        <v>149</v>
      </c>
      <c r="I96" s="69">
        <f>-0.0313276097716933</f>
        <v>-3.1327609771693299E-2</v>
      </c>
      <c r="J96" s="39"/>
      <c r="K96" s="2">
        <f t="shared" si="6"/>
        <v>-6.23985175893269E-2</v>
      </c>
      <c r="L96" s="2">
        <f t="shared" si="5"/>
        <v>1.5716480553866045E-2</v>
      </c>
    </row>
    <row r="97" spans="2:12" ht="23" x14ac:dyDescent="0.25">
      <c r="B97" s="49" t="s">
        <v>150</v>
      </c>
      <c r="C97" s="56">
        <v>0.13612565445026178</v>
      </c>
      <c r="D97" s="57">
        <v>0.34305026046503301</v>
      </c>
      <c r="E97" s="52">
        <v>1337</v>
      </c>
      <c r="F97" s="53">
        <v>0</v>
      </c>
      <c r="G97" s="39"/>
      <c r="H97" s="49" t="s">
        <v>150</v>
      </c>
      <c r="I97" s="69">
        <f>-0.0354354833663926</f>
        <v>-3.5435483366392601E-2</v>
      </c>
      <c r="J97" s="39"/>
      <c r="K97" s="2">
        <f t="shared" si="6"/>
        <v>-8.9234169246466127E-2</v>
      </c>
      <c r="L97" s="2">
        <f t="shared" si="5"/>
        <v>1.4061141820655269E-2</v>
      </c>
    </row>
    <row r="98" spans="2:12" ht="23" x14ac:dyDescent="0.25">
      <c r="B98" s="49" t="s">
        <v>151</v>
      </c>
      <c r="C98" s="56">
        <v>2.9917726252804786E-2</v>
      </c>
      <c r="D98" s="57">
        <v>0.17042411640817998</v>
      </c>
      <c r="E98" s="52">
        <v>1337</v>
      </c>
      <c r="F98" s="53">
        <v>0</v>
      </c>
      <c r="G98" s="39"/>
      <c r="H98" s="49" t="s">
        <v>151</v>
      </c>
      <c r="I98" s="69">
        <f>-0.0132878356374933</f>
        <v>-1.3287835637493301E-2</v>
      </c>
      <c r="J98" s="39"/>
      <c r="K98" s="2">
        <f t="shared" si="6"/>
        <v>-7.5636559426397049E-2</v>
      </c>
      <c r="L98" s="2">
        <f t="shared" si="5"/>
        <v>2.33266181731371E-3</v>
      </c>
    </row>
    <row r="99" spans="2:12" x14ac:dyDescent="0.25">
      <c r="B99" s="49" t="s">
        <v>152</v>
      </c>
      <c r="C99" s="56">
        <v>4.4876589379207181E-2</v>
      </c>
      <c r="D99" s="57">
        <v>0.20711051144264586</v>
      </c>
      <c r="E99" s="52">
        <v>1337</v>
      </c>
      <c r="F99" s="53">
        <v>0</v>
      </c>
      <c r="G99" s="39"/>
      <c r="H99" s="49" t="s">
        <v>152</v>
      </c>
      <c r="I99" s="69">
        <f>-0.0354460277419107</f>
        <v>-3.5446027741910698E-2</v>
      </c>
      <c r="J99" s="39"/>
      <c r="K99" s="2">
        <f t="shared" si="6"/>
        <v>-0.16346505386902288</v>
      </c>
      <c r="L99" s="2">
        <f t="shared" si="5"/>
        <v>7.6804253971349823E-3</v>
      </c>
    </row>
    <row r="100" spans="2:12" x14ac:dyDescent="0.25">
      <c r="B100" s="49" t="s">
        <v>153</v>
      </c>
      <c r="C100" s="56">
        <v>1.4958863126402393E-2</v>
      </c>
      <c r="D100" s="57">
        <v>0.12143362303537225</v>
      </c>
      <c r="E100" s="52">
        <v>1337</v>
      </c>
      <c r="F100" s="53">
        <v>0</v>
      </c>
      <c r="G100" s="39"/>
      <c r="H100" s="49" t="s">
        <v>153</v>
      </c>
      <c r="I100" s="69">
        <f>-0.0181394814099253</f>
        <v>-1.8139481409925301E-2</v>
      </c>
      <c r="J100" s="39"/>
      <c r="K100" s="2">
        <f t="shared" si="6"/>
        <v>-0.1471432288990136</v>
      </c>
      <c r="L100" s="2">
        <f t="shared" si="5"/>
        <v>2.2345213196509274E-3</v>
      </c>
    </row>
    <row r="101" spans="2:12" x14ac:dyDescent="0.25">
      <c r="B101" s="49" t="s">
        <v>154</v>
      </c>
      <c r="C101" s="56">
        <v>8.9753178758414359E-3</v>
      </c>
      <c r="D101" s="57">
        <v>9.4347333298385516E-2</v>
      </c>
      <c r="E101" s="52">
        <v>1337</v>
      </c>
      <c r="F101" s="53">
        <v>0</v>
      </c>
      <c r="G101" s="39"/>
      <c r="H101" s="49" t="s">
        <v>154</v>
      </c>
      <c r="I101" s="69">
        <f>-0.00271856506149767</f>
        <v>-2.7185650614976698E-3</v>
      </c>
      <c r="J101" s="39"/>
      <c r="K101" s="2">
        <f t="shared" si="6"/>
        <v>-2.8555815853151145E-2</v>
      </c>
      <c r="L101" s="2">
        <f t="shared" si="5"/>
        <v>2.5861870961344435E-4</v>
      </c>
    </row>
    <row r="102" spans="2:12" ht="15" thickBot="1" x14ac:dyDescent="0.3">
      <c r="B102" s="58" t="s">
        <v>155</v>
      </c>
      <c r="C102" s="59">
        <v>0.87942727957799549</v>
      </c>
      <c r="D102" s="60">
        <v>3.384413946022796</v>
      </c>
      <c r="E102" s="61">
        <v>1337</v>
      </c>
      <c r="F102" s="62">
        <v>10</v>
      </c>
      <c r="G102" s="39"/>
      <c r="H102" s="58" t="s">
        <v>155</v>
      </c>
      <c r="I102" s="70">
        <f>-0.0268556779750796</f>
        <v>-2.6855677975079598E-2</v>
      </c>
      <c r="J102" s="39"/>
      <c r="K102" s="2">
        <f t="shared" si="6"/>
        <v>-9.5675712364850487E-4</v>
      </c>
      <c r="L102" s="2">
        <f t="shared" si="5"/>
        <v>6.9783472706112827E-3</v>
      </c>
    </row>
    <row r="103" spans="2:12" ht="45" customHeight="1" thickTop="1" x14ac:dyDescent="0.25">
      <c r="B103" s="63" t="s">
        <v>48</v>
      </c>
      <c r="C103" s="63"/>
      <c r="D103" s="63"/>
      <c r="E103" s="63"/>
      <c r="F103" s="63"/>
      <c r="G103" s="39"/>
      <c r="H103" s="63" t="s">
        <v>7</v>
      </c>
      <c r="I103" s="63"/>
      <c r="J103" s="39"/>
      <c r="K103" s="2" t="e">
        <f t="shared" si="6"/>
        <v>#DIV/0!</v>
      </c>
      <c r="L103" s="2" t="e">
        <f t="shared" si="5"/>
        <v>#DIV/0!</v>
      </c>
    </row>
  </sheetData>
  <mergeCells count="7">
    <mergeCell ref="K5:L5"/>
    <mergeCell ref="B5:F5"/>
    <mergeCell ref="B6"/>
    <mergeCell ref="B103:F103"/>
    <mergeCell ref="H4:I4"/>
    <mergeCell ref="H5:H6"/>
    <mergeCell ref="H103:I103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1"/>
  <sheetViews>
    <sheetView workbookViewId="0">
      <selection activeCell="D120" sqref="D120"/>
    </sheetView>
  </sheetViews>
  <sheetFormatPr defaultColWidth="9.1796875" defaultRowHeight="14.5" x14ac:dyDescent="0.35"/>
  <cols>
    <col min="1" max="1" width="5.453125" style="2" customWidth="1"/>
    <col min="2" max="2" width="35" style="2" bestFit="1" customWidth="1"/>
    <col min="3" max="3" width="6.453125" style="2" bestFit="1" customWidth="1"/>
    <col min="4" max="4" width="8.81640625" style="2" bestFit="1" customWidth="1"/>
    <col min="5" max="5" width="7.54296875" style="2" bestFit="1" customWidth="1"/>
    <col min="6" max="6" width="8.81640625" style="2" bestFit="1" customWidth="1"/>
    <col min="7" max="7" width="9.1796875" style="2"/>
    <col min="8" max="8" width="37.54296875" style="2" customWidth="1"/>
    <col min="9" max="9" width="10.26953125" style="2" bestFit="1" customWidth="1"/>
    <col min="10" max="10" width="9.1796875" style="2"/>
    <col min="11" max="11" width="12" style="2" bestFit="1" customWidth="1"/>
    <col min="12" max="12" width="15.26953125" style="2" bestFit="1" customWidth="1"/>
    <col min="13" max="16384" width="9.1796875" style="2"/>
  </cols>
  <sheetData>
    <row r="1" spans="1:12" x14ac:dyDescent="0.35">
      <c r="A1" s="2" t="s">
        <v>11</v>
      </c>
    </row>
    <row r="4" spans="1:12" ht="15" thickBot="1" x14ac:dyDescent="0.3">
      <c r="H4" s="71" t="s">
        <v>6</v>
      </c>
      <c r="I4" s="71"/>
      <c r="J4" s="72"/>
    </row>
    <row r="5" spans="1:12" ht="15.5" thickTop="1" thickBot="1" x14ac:dyDescent="0.3">
      <c r="B5" s="71" t="s">
        <v>0</v>
      </c>
      <c r="C5" s="71"/>
      <c r="D5" s="71"/>
      <c r="E5" s="71"/>
      <c r="F5" s="71"/>
      <c r="G5" s="72"/>
      <c r="H5" s="97" t="s">
        <v>47</v>
      </c>
      <c r="I5" s="98" t="s">
        <v>4</v>
      </c>
      <c r="J5" s="72"/>
      <c r="K5" s="3" t="s">
        <v>8</v>
      </c>
      <c r="L5" s="3"/>
    </row>
    <row r="6" spans="1:12" ht="26" thickTop="1" thickBot="1" x14ac:dyDescent="0.3">
      <c r="B6" s="73" t="s">
        <v>47</v>
      </c>
      <c r="C6" s="74" t="s">
        <v>1</v>
      </c>
      <c r="D6" s="75" t="s">
        <v>49</v>
      </c>
      <c r="E6" s="75" t="s">
        <v>50</v>
      </c>
      <c r="F6" s="76" t="s">
        <v>2</v>
      </c>
      <c r="G6" s="72"/>
      <c r="H6" s="99"/>
      <c r="I6" s="100" t="s">
        <v>5</v>
      </c>
      <c r="J6" s="72"/>
      <c r="K6" s="1" t="s">
        <v>9</v>
      </c>
      <c r="L6" s="1" t="s">
        <v>10</v>
      </c>
    </row>
    <row r="7" spans="1:12" ht="23.5" thickTop="1" x14ac:dyDescent="0.25">
      <c r="B7" s="77" t="s">
        <v>51</v>
      </c>
      <c r="C7" s="78">
        <v>2.2066198595787358E-3</v>
      </c>
      <c r="D7" s="79">
        <v>4.6927523396784743E-2</v>
      </c>
      <c r="E7" s="80">
        <v>4985</v>
      </c>
      <c r="F7" s="81">
        <v>0</v>
      </c>
      <c r="G7" s="72"/>
      <c r="H7" s="77" t="s">
        <v>51</v>
      </c>
      <c r="I7" s="101">
        <v>4.5970252796985717E-2</v>
      </c>
      <c r="J7" s="72"/>
      <c r="K7" s="2">
        <f>((1-C7)/D7)*I7</f>
        <v>0.97743947696495648</v>
      </c>
      <c r="L7" s="2">
        <f>((0-C7)/D7)*I7</f>
        <v>-2.1616072067982546E-3</v>
      </c>
    </row>
    <row r="8" spans="1:12" ht="23" x14ac:dyDescent="0.25">
      <c r="B8" s="82" t="s">
        <v>52</v>
      </c>
      <c r="C8" s="83">
        <v>3.4102306920762286E-3</v>
      </c>
      <c r="D8" s="84">
        <v>5.8303369722462466E-2</v>
      </c>
      <c r="E8" s="85">
        <v>4985</v>
      </c>
      <c r="F8" s="86">
        <v>0</v>
      </c>
      <c r="G8" s="72"/>
      <c r="H8" s="82" t="s">
        <v>52</v>
      </c>
      <c r="I8" s="102">
        <v>3.3482268174798407E-2</v>
      </c>
      <c r="J8" s="72"/>
      <c r="K8" s="2">
        <f t="shared" ref="K8:K71" si="0">((1-C8)/D8)*I8</f>
        <v>0.57231830810239948</v>
      </c>
      <c r="L8" s="2">
        <f t="shared" ref="L8:L71" si="1">((0-C8)/D8)*I8</f>
        <v>-1.9584161106563588E-3</v>
      </c>
    </row>
    <row r="9" spans="1:12" ht="23" x14ac:dyDescent="0.25">
      <c r="B9" s="82" t="s">
        <v>53</v>
      </c>
      <c r="C9" s="83">
        <v>6.0180541624874626E-4</v>
      </c>
      <c r="D9" s="84">
        <v>2.4526800062348034E-2</v>
      </c>
      <c r="E9" s="85">
        <v>4985</v>
      </c>
      <c r="F9" s="86">
        <v>0</v>
      </c>
      <c r="G9" s="72"/>
      <c r="H9" s="82" t="s">
        <v>53</v>
      </c>
      <c r="I9" s="102">
        <v>4.6611888089508708E-3</v>
      </c>
      <c r="J9" s="72"/>
      <c r="K9" s="2">
        <f t="shared" si="0"/>
        <v>0.18993034837148351</v>
      </c>
      <c r="L9" s="2">
        <f t="shared" si="1"/>
        <v>-1.1436994080980543E-4</v>
      </c>
    </row>
    <row r="10" spans="1:12" ht="23" x14ac:dyDescent="0.25">
      <c r="B10" s="82" t="s">
        <v>54</v>
      </c>
      <c r="C10" s="83">
        <v>0.16148445336008022</v>
      </c>
      <c r="D10" s="84">
        <v>0.36801412074381029</v>
      </c>
      <c r="E10" s="85">
        <v>4985</v>
      </c>
      <c r="F10" s="86">
        <v>0</v>
      </c>
      <c r="G10" s="72"/>
      <c r="H10" s="82" t="s">
        <v>54</v>
      </c>
      <c r="I10" s="102">
        <v>2.5863737406433992E-2</v>
      </c>
      <c r="J10" s="72"/>
      <c r="K10" s="2">
        <f t="shared" si="0"/>
        <v>5.8930200465336625E-2</v>
      </c>
      <c r="L10" s="2">
        <f t="shared" si="1"/>
        <v>-1.1348997936506216E-2</v>
      </c>
    </row>
    <row r="11" spans="1:12" ht="23" x14ac:dyDescent="0.25">
      <c r="B11" s="82" t="s">
        <v>55</v>
      </c>
      <c r="C11" s="83">
        <v>0.51494483450351058</v>
      </c>
      <c r="D11" s="84">
        <v>0.49982673760243296</v>
      </c>
      <c r="E11" s="85">
        <v>4985</v>
      </c>
      <c r="F11" s="86">
        <v>0</v>
      </c>
      <c r="G11" s="72"/>
      <c r="H11" s="82" t="s">
        <v>55</v>
      </c>
      <c r="I11" s="102">
        <v>-1.5897845947527425E-2</v>
      </c>
      <c r="J11" s="72"/>
      <c r="K11" s="2">
        <f t="shared" si="0"/>
        <v>-1.5428010782506952E-2</v>
      </c>
      <c r="L11" s="2">
        <f t="shared" si="1"/>
        <v>1.6378702927500148E-2</v>
      </c>
    </row>
    <row r="12" spans="1:12" ht="23" x14ac:dyDescent="0.25">
      <c r="B12" s="82" t="s">
        <v>56</v>
      </c>
      <c r="C12" s="83">
        <v>9.5285857572718152E-2</v>
      </c>
      <c r="D12" s="84">
        <v>0.29363882502350641</v>
      </c>
      <c r="E12" s="85">
        <v>4985</v>
      </c>
      <c r="F12" s="86">
        <v>0</v>
      </c>
      <c r="G12" s="72"/>
      <c r="H12" s="82" t="s">
        <v>56</v>
      </c>
      <c r="I12" s="102">
        <v>-9.5235334779676713E-3</v>
      </c>
      <c r="J12" s="72"/>
      <c r="K12" s="2">
        <f t="shared" si="0"/>
        <v>-2.9342425759629354E-2</v>
      </c>
      <c r="L12" s="2">
        <f t="shared" si="1"/>
        <v>3.0903885223556413E-3</v>
      </c>
    </row>
    <row r="13" spans="1:12" ht="23" x14ac:dyDescent="0.25">
      <c r="B13" s="82" t="s">
        <v>57</v>
      </c>
      <c r="C13" s="83">
        <v>0.18495486459378135</v>
      </c>
      <c r="D13" s="84">
        <v>0.38829989538619125</v>
      </c>
      <c r="E13" s="85">
        <v>4985</v>
      </c>
      <c r="F13" s="86">
        <v>0</v>
      </c>
      <c r="G13" s="72"/>
      <c r="H13" s="82" t="s">
        <v>57</v>
      </c>
      <c r="I13" s="102">
        <v>-3.9477977814649894E-3</v>
      </c>
      <c r="J13" s="72"/>
      <c r="K13" s="2">
        <f t="shared" si="0"/>
        <v>-8.2864647031396753E-3</v>
      </c>
      <c r="L13" s="2">
        <f t="shared" si="1"/>
        <v>1.8804135998756533E-3</v>
      </c>
    </row>
    <row r="14" spans="1:12" ht="23" x14ac:dyDescent="0.25">
      <c r="B14" s="82" t="s">
        <v>58</v>
      </c>
      <c r="C14" s="83">
        <v>2.2066198595787363E-3</v>
      </c>
      <c r="D14" s="84">
        <v>4.692752339678545E-2</v>
      </c>
      <c r="E14" s="85">
        <v>4985</v>
      </c>
      <c r="F14" s="86">
        <v>0</v>
      </c>
      <c r="G14" s="72"/>
      <c r="H14" s="82" t="s">
        <v>58</v>
      </c>
      <c r="I14" s="102">
        <v>2.1463912381811687E-4</v>
      </c>
      <c r="J14" s="72"/>
      <c r="K14" s="2">
        <f t="shared" si="0"/>
        <v>4.5637502549202846E-3</v>
      </c>
      <c r="L14" s="2">
        <f t="shared" si="1"/>
        <v>-1.0092732771235049E-5</v>
      </c>
    </row>
    <row r="15" spans="1:12" ht="23" x14ac:dyDescent="0.25">
      <c r="B15" s="82" t="s">
        <v>59</v>
      </c>
      <c r="C15" s="83">
        <v>2.0060180541624877E-2</v>
      </c>
      <c r="D15" s="84">
        <v>0.14022023346708035</v>
      </c>
      <c r="E15" s="85">
        <v>4985</v>
      </c>
      <c r="F15" s="86">
        <v>0</v>
      </c>
      <c r="G15" s="72"/>
      <c r="H15" s="82" t="s">
        <v>59</v>
      </c>
      <c r="I15" s="102">
        <v>-2.0007314422191488E-3</v>
      </c>
      <c r="J15" s="72"/>
      <c r="K15" s="2">
        <f t="shared" si="0"/>
        <v>-1.3982264611855881E-2</v>
      </c>
      <c r="L15" s="2">
        <f t="shared" si="1"/>
        <v>2.8622854886091876E-4</v>
      </c>
    </row>
    <row r="16" spans="1:12" ht="23" x14ac:dyDescent="0.25">
      <c r="B16" s="82" t="s">
        <v>60</v>
      </c>
      <c r="C16" s="83">
        <v>4.0120361083249736E-4</v>
      </c>
      <c r="D16" s="84">
        <v>2.0028058131424484E-2</v>
      </c>
      <c r="E16" s="85">
        <v>4985</v>
      </c>
      <c r="F16" s="86">
        <v>0</v>
      </c>
      <c r="G16" s="72"/>
      <c r="H16" s="82" t="s">
        <v>60</v>
      </c>
      <c r="I16" s="102">
        <v>-8.0469011249488451E-3</v>
      </c>
      <c r="J16" s="72"/>
      <c r="K16" s="2">
        <f t="shared" si="0"/>
        <v>-0.40162019834268387</v>
      </c>
      <c r="L16" s="2">
        <f t="shared" si="1"/>
        <v>1.6119614623427001E-4</v>
      </c>
    </row>
    <row r="17" spans="2:12" ht="46" x14ac:dyDescent="0.25">
      <c r="B17" s="82" t="s">
        <v>61</v>
      </c>
      <c r="C17" s="83">
        <v>1.2437311935807421E-2</v>
      </c>
      <c r="D17" s="84">
        <v>0.11083812348996214</v>
      </c>
      <c r="E17" s="85">
        <v>4985</v>
      </c>
      <c r="F17" s="86">
        <v>0</v>
      </c>
      <c r="G17" s="72"/>
      <c r="H17" s="82" t="s">
        <v>61</v>
      </c>
      <c r="I17" s="102">
        <v>-1.8641426503272943E-2</v>
      </c>
      <c r="J17" s="72"/>
      <c r="K17" s="2">
        <f t="shared" si="0"/>
        <v>-0.16609427052047249</v>
      </c>
      <c r="L17" s="2">
        <f t="shared" si="1"/>
        <v>2.0917824034672543E-3</v>
      </c>
    </row>
    <row r="18" spans="2:12" ht="23" x14ac:dyDescent="0.25">
      <c r="B18" s="82" t="s">
        <v>62</v>
      </c>
      <c r="C18" s="83">
        <v>6.0180541624874626E-4</v>
      </c>
      <c r="D18" s="84">
        <v>2.4526800062348326E-2</v>
      </c>
      <c r="E18" s="85">
        <v>4985</v>
      </c>
      <c r="F18" s="86">
        <v>0</v>
      </c>
      <c r="G18" s="72"/>
      <c r="H18" s="82" t="s">
        <v>62</v>
      </c>
      <c r="I18" s="102">
        <v>1.4901740189657932E-2</v>
      </c>
      <c r="J18" s="72"/>
      <c r="K18" s="2">
        <f t="shared" si="0"/>
        <v>0.60720404634286196</v>
      </c>
      <c r="L18" s="2">
        <f t="shared" si="1"/>
        <v>-3.6563872722372265E-4</v>
      </c>
    </row>
    <row r="19" spans="2:12" x14ac:dyDescent="0.25">
      <c r="B19" s="82" t="s">
        <v>63</v>
      </c>
      <c r="C19" s="83">
        <v>1.4042126379137411E-3</v>
      </c>
      <c r="D19" s="84">
        <v>3.7450262659444747E-2</v>
      </c>
      <c r="E19" s="85">
        <v>4985</v>
      </c>
      <c r="F19" s="86">
        <v>0</v>
      </c>
      <c r="G19" s="72"/>
      <c r="H19" s="82" t="s">
        <v>63</v>
      </c>
      <c r="I19" s="102">
        <v>1.7782422717602078E-2</v>
      </c>
      <c r="J19" s="72"/>
      <c r="K19" s="2">
        <f t="shared" si="0"/>
        <v>0.4741609578647632</v>
      </c>
      <c r="L19" s="2">
        <f t="shared" si="1"/>
        <v>-6.6675908096692289E-4</v>
      </c>
    </row>
    <row r="20" spans="2:12" ht="23" x14ac:dyDescent="0.25">
      <c r="B20" s="82" t="s">
        <v>64</v>
      </c>
      <c r="C20" s="83">
        <v>4.0120361083249747E-4</v>
      </c>
      <c r="D20" s="84">
        <v>2.0028058131424258E-2</v>
      </c>
      <c r="E20" s="85">
        <v>4985</v>
      </c>
      <c r="F20" s="86">
        <v>0</v>
      </c>
      <c r="G20" s="72"/>
      <c r="H20" s="82" t="s">
        <v>64</v>
      </c>
      <c r="I20" s="102">
        <v>2.4563697376335847E-2</v>
      </c>
      <c r="J20" s="72"/>
      <c r="K20" s="2">
        <f t="shared" ref="K20:K65" si="2">((1-C20)/D20)*I20</f>
        <v>1.2259721921681361</v>
      </c>
      <c r="L20" s="2">
        <f t="shared" ref="L20:L65" si="3">((0-C20)/D20)*I20</f>
        <v>-4.9206188728402015E-4</v>
      </c>
    </row>
    <row r="21" spans="2:12" ht="23" x14ac:dyDescent="0.25">
      <c r="B21" s="82" t="s">
        <v>65</v>
      </c>
      <c r="C21" s="83">
        <v>6.0180541624874626E-4</v>
      </c>
      <c r="D21" s="84">
        <v>2.4526800062349714E-2</v>
      </c>
      <c r="E21" s="85">
        <v>4985</v>
      </c>
      <c r="F21" s="86">
        <v>0</v>
      </c>
      <c r="G21" s="72"/>
      <c r="H21" s="82" t="s">
        <v>65</v>
      </c>
      <c r="I21" s="102">
        <v>8.3557492665678225E-3</v>
      </c>
      <c r="J21" s="72"/>
      <c r="K21" s="2">
        <f t="shared" si="2"/>
        <v>0.34047330716497759</v>
      </c>
      <c r="L21" s="2">
        <f t="shared" si="3"/>
        <v>-2.0502206372840882E-4</v>
      </c>
    </row>
    <row r="22" spans="2:12" ht="23" x14ac:dyDescent="0.25">
      <c r="B22" s="82" t="s">
        <v>67</v>
      </c>
      <c r="C22" s="83">
        <v>2.3470411233701104E-2</v>
      </c>
      <c r="D22" s="84">
        <v>0.15140723118805555</v>
      </c>
      <c r="E22" s="85">
        <v>4985</v>
      </c>
      <c r="F22" s="86">
        <v>0</v>
      </c>
      <c r="G22" s="72"/>
      <c r="H22" s="82" t="s">
        <v>67</v>
      </c>
      <c r="I22" s="102">
        <v>1.4559191919558841E-3</v>
      </c>
      <c r="J22" s="72"/>
      <c r="K22" s="2">
        <f t="shared" si="2"/>
        <v>9.3902263362293289E-3</v>
      </c>
      <c r="L22" s="2">
        <f t="shared" si="3"/>
        <v>-2.2568949904248797E-4</v>
      </c>
    </row>
    <row r="23" spans="2:12" ht="23" x14ac:dyDescent="0.25">
      <c r="B23" s="82" t="s">
        <v>68</v>
      </c>
      <c r="C23" s="83">
        <v>0.14022066198595787</v>
      </c>
      <c r="D23" s="84">
        <v>0.34725065458413384</v>
      </c>
      <c r="E23" s="85">
        <v>4985</v>
      </c>
      <c r="F23" s="86">
        <v>0</v>
      </c>
      <c r="G23" s="72"/>
      <c r="H23" s="82" t="s">
        <v>68</v>
      </c>
      <c r="I23" s="102">
        <v>6.9006551431491869E-2</v>
      </c>
      <c r="J23" s="72"/>
      <c r="K23" s="2">
        <f t="shared" si="2"/>
        <v>0.17085758176454388</v>
      </c>
      <c r="L23" s="2">
        <f t="shared" si="3"/>
        <v>-2.786501391820256E-2</v>
      </c>
    </row>
    <row r="24" spans="2:12" ht="23" x14ac:dyDescent="0.25">
      <c r="B24" s="82" t="s">
        <v>69</v>
      </c>
      <c r="C24" s="83">
        <v>3.2096288866599799E-2</v>
      </c>
      <c r="D24" s="84">
        <v>0.17627350985657722</v>
      </c>
      <c r="E24" s="85">
        <v>4985</v>
      </c>
      <c r="F24" s="86">
        <v>0</v>
      </c>
      <c r="G24" s="72"/>
      <c r="H24" s="82" t="s">
        <v>69</v>
      </c>
      <c r="I24" s="102">
        <v>-2.6734257415121261E-3</v>
      </c>
      <c r="J24" s="72"/>
      <c r="K24" s="2">
        <f t="shared" si="2"/>
        <v>-1.4679566423534277E-2</v>
      </c>
      <c r="L24" s="2">
        <f t="shared" si="3"/>
        <v>4.8678354979595531E-4</v>
      </c>
    </row>
    <row r="25" spans="2:12" ht="23" x14ac:dyDescent="0.25">
      <c r="B25" s="82" t="s">
        <v>70</v>
      </c>
      <c r="C25" s="83">
        <v>1.4042126379137411E-3</v>
      </c>
      <c r="D25" s="84">
        <v>3.7450262659443463E-2</v>
      </c>
      <c r="E25" s="85">
        <v>4985</v>
      </c>
      <c r="F25" s="86">
        <v>0</v>
      </c>
      <c r="G25" s="72"/>
      <c r="H25" s="82" t="s">
        <v>70</v>
      </c>
      <c r="I25" s="102">
        <v>2.0362360053046836E-3</v>
      </c>
      <c r="J25" s="72"/>
      <c r="K25" s="2">
        <f t="shared" si="2"/>
        <v>5.4295392143518736E-2</v>
      </c>
      <c r="L25" s="2">
        <f t="shared" si="3"/>
        <v>-7.6349486742593642E-5</v>
      </c>
    </row>
    <row r="26" spans="2:12" ht="23" x14ac:dyDescent="0.25">
      <c r="B26" s="82" t="s">
        <v>71</v>
      </c>
      <c r="C26" s="83">
        <v>0.50651955867602816</v>
      </c>
      <c r="D26" s="84">
        <v>0.50000764728162039</v>
      </c>
      <c r="E26" s="85">
        <v>4985</v>
      </c>
      <c r="F26" s="86">
        <v>0</v>
      </c>
      <c r="G26" s="72"/>
      <c r="H26" s="82" t="s">
        <v>71</v>
      </c>
      <c r="I26" s="102">
        <v>-8.6753840352592967E-2</v>
      </c>
      <c r="J26" s="72"/>
      <c r="K26" s="2">
        <f t="shared" si="2"/>
        <v>-8.5621337306535761E-2</v>
      </c>
      <c r="L26" s="2">
        <f t="shared" si="3"/>
        <v>8.7883689715041818E-2</v>
      </c>
    </row>
    <row r="27" spans="2:12" x14ac:dyDescent="0.25">
      <c r="B27" s="82" t="s">
        <v>72</v>
      </c>
      <c r="C27" s="83">
        <v>2.0060180541624874E-4</v>
      </c>
      <c r="D27" s="84">
        <v>1.4163396676511876E-2</v>
      </c>
      <c r="E27" s="85">
        <v>4985</v>
      </c>
      <c r="F27" s="86">
        <v>0</v>
      </c>
      <c r="G27" s="72"/>
      <c r="H27" s="82" t="s">
        <v>72</v>
      </c>
      <c r="I27" s="102">
        <v>-3.2700456572442231E-3</v>
      </c>
      <c r="J27" s="72"/>
      <c r="K27" s="2">
        <f t="shared" si="2"/>
        <v>-0.2308337297085972</v>
      </c>
      <c r="L27" s="2">
        <f t="shared" si="3"/>
        <v>4.6314953793859788E-5</v>
      </c>
    </row>
    <row r="28" spans="2:12" ht="34.5" x14ac:dyDescent="0.25">
      <c r="B28" s="82" t="s">
        <v>73</v>
      </c>
      <c r="C28" s="83">
        <v>1.0030090270812437E-3</v>
      </c>
      <c r="D28" s="84">
        <v>3.1657606414787695E-2</v>
      </c>
      <c r="E28" s="85">
        <v>4985</v>
      </c>
      <c r="F28" s="86">
        <v>0</v>
      </c>
      <c r="G28" s="72"/>
      <c r="H28" s="82" t="s">
        <v>73</v>
      </c>
      <c r="I28" s="102">
        <v>2.8835938352733442E-3</v>
      </c>
      <c r="J28" s="72"/>
      <c r="K28" s="2">
        <f t="shared" si="2"/>
        <v>9.0995558125345655E-2</v>
      </c>
      <c r="L28" s="2">
        <f t="shared" si="3"/>
        <v>-9.1361002133881174E-5</v>
      </c>
    </row>
    <row r="29" spans="2:12" ht="34.5" x14ac:dyDescent="0.25">
      <c r="B29" s="82" t="s">
        <v>74</v>
      </c>
      <c r="C29" s="83">
        <v>2.0060180541624868E-4</v>
      </c>
      <c r="D29" s="84">
        <v>1.4163396676512591E-2</v>
      </c>
      <c r="E29" s="85">
        <v>4985</v>
      </c>
      <c r="F29" s="86">
        <v>0</v>
      </c>
      <c r="G29" s="72"/>
      <c r="H29" s="82" t="s">
        <v>74</v>
      </c>
      <c r="I29" s="102">
        <v>-9.2716522752971391E-4</v>
      </c>
      <c r="J29" s="72"/>
      <c r="K29" s="2">
        <f t="shared" si="2"/>
        <v>-6.5448935568427458E-2</v>
      </c>
      <c r="L29" s="2">
        <f t="shared" si="3"/>
        <v>1.3131808902172441E-5</v>
      </c>
    </row>
    <row r="30" spans="2:12" ht="34.5" x14ac:dyDescent="0.25">
      <c r="B30" s="82" t="s">
        <v>75</v>
      </c>
      <c r="C30" s="83">
        <v>3.029087261785356E-2</v>
      </c>
      <c r="D30" s="84">
        <v>0.17140370235300992</v>
      </c>
      <c r="E30" s="85">
        <v>4985</v>
      </c>
      <c r="F30" s="86">
        <v>0</v>
      </c>
      <c r="G30" s="72"/>
      <c r="H30" s="82" t="s">
        <v>75</v>
      </c>
      <c r="I30" s="102">
        <v>3.8664166801215638E-3</v>
      </c>
      <c r="J30" s="72"/>
      <c r="K30" s="2">
        <f t="shared" si="2"/>
        <v>2.1874087277617183E-2</v>
      </c>
      <c r="L30" s="2">
        <f t="shared" si="3"/>
        <v>-6.8328241185771515E-4</v>
      </c>
    </row>
    <row r="31" spans="2:12" ht="23" x14ac:dyDescent="0.25">
      <c r="B31" s="82" t="s">
        <v>76</v>
      </c>
      <c r="C31" s="83">
        <v>0.21243731193580742</v>
      </c>
      <c r="D31" s="84">
        <v>0.40907367233062059</v>
      </c>
      <c r="E31" s="85">
        <v>4985</v>
      </c>
      <c r="F31" s="86">
        <v>0</v>
      </c>
      <c r="G31" s="72"/>
      <c r="H31" s="82" t="s">
        <v>76</v>
      </c>
      <c r="I31" s="102">
        <v>4.4482877527401356E-2</v>
      </c>
      <c r="J31" s="72"/>
      <c r="K31" s="2">
        <f t="shared" si="2"/>
        <v>8.563996406494756E-2</v>
      </c>
      <c r="L31" s="2">
        <f t="shared" si="3"/>
        <v>-2.3100540485170518E-2</v>
      </c>
    </row>
    <row r="32" spans="2:12" ht="34.5" x14ac:dyDescent="0.25">
      <c r="B32" s="82" t="s">
        <v>77</v>
      </c>
      <c r="C32" s="83">
        <v>4.8345035105315952E-2</v>
      </c>
      <c r="D32" s="84">
        <v>0.21451578912525796</v>
      </c>
      <c r="E32" s="85">
        <v>4985</v>
      </c>
      <c r="F32" s="86">
        <v>0</v>
      </c>
      <c r="G32" s="72"/>
      <c r="H32" s="82" t="s">
        <v>77</v>
      </c>
      <c r="I32" s="102">
        <v>-1.0238960798990145E-3</v>
      </c>
      <c r="J32" s="72"/>
      <c r="K32" s="2">
        <f t="shared" si="2"/>
        <v>-4.5423033518672213E-3</v>
      </c>
      <c r="L32" s="2">
        <f t="shared" si="3"/>
        <v>2.3075360619730195E-4</v>
      </c>
    </row>
    <row r="33" spans="2:12" ht="23" x14ac:dyDescent="0.25">
      <c r="B33" s="82" t="s">
        <v>78</v>
      </c>
      <c r="C33" s="83">
        <v>1.8054162487462387E-3</v>
      </c>
      <c r="D33" s="84">
        <v>4.2456075058139496E-2</v>
      </c>
      <c r="E33" s="85">
        <v>4985</v>
      </c>
      <c r="F33" s="86">
        <v>0</v>
      </c>
      <c r="G33" s="72"/>
      <c r="H33" s="82" t="s">
        <v>78</v>
      </c>
      <c r="I33" s="102">
        <v>5.5719464440845369E-3</v>
      </c>
      <c r="J33" s="72"/>
      <c r="K33" s="2">
        <f t="shared" si="2"/>
        <v>0.13100331940295412</v>
      </c>
      <c r="L33" s="2">
        <f t="shared" si="3"/>
        <v>-2.3694330277865497E-4</v>
      </c>
    </row>
    <row r="34" spans="2:12" ht="23" x14ac:dyDescent="0.25">
      <c r="B34" s="82" t="s">
        <v>79</v>
      </c>
      <c r="C34" s="83">
        <v>4.0120361083249747E-4</v>
      </c>
      <c r="D34" s="84">
        <v>2.0028058131424401E-2</v>
      </c>
      <c r="E34" s="85">
        <v>4985</v>
      </c>
      <c r="F34" s="86">
        <v>0</v>
      </c>
      <c r="G34" s="72"/>
      <c r="H34" s="82" t="s">
        <v>79</v>
      </c>
      <c r="I34" s="102">
        <v>-9.652907087069493E-4</v>
      </c>
      <c r="J34" s="72"/>
      <c r="K34" s="2">
        <f t="shared" si="2"/>
        <v>-4.8177582881845211E-2</v>
      </c>
      <c r="L34" s="2">
        <f t="shared" si="3"/>
        <v>1.9336778198613367E-5</v>
      </c>
    </row>
    <row r="35" spans="2:12" ht="23" x14ac:dyDescent="0.25">
      <c r="B35" s="82" t="s">
        <v>80</v>
      </c>
      <c r="C35" s="83">
        <v>1.4844533600802408E-2</v>
      </c>
      <c r="D35" s="84">
        <v>0.12094257995916245</v>
      </c>
      <c r="E35" s="85">
        <v>4985</v>
      </c>
      <c r="F35" s="86">
        <v>0</v>
      </c>
      <c r="G35" s="72"/>
      <c r="H35" s="82" t="s">
        <v>80</v>
      </c>
      <c r="I35" s="102">
        <v>6.784117992792324E-2</v>
      </c>
      <c r="J35" s="72"/>
      <c r="K35" s="2">
        <f t="shared" si="2"/>
        <v>0.552610249223494</v>
      </c>
      <c r="L35" s="2">
        <f t="shared" si="3"/>
        <v>-8.3268496115940852E-3</v>
      </c>
    </row>
    <row r="36" spans="2:12" x14ac:dyDescent="0.25">
      <c r="B36" s="82" t="s">
        <v>81</v>
      </c>
      <c r="C36" s="83">
        <v>1.2036108324974923E-3</v>
      </c>
      <c r="D36" s="84">
        <v>3.4675688280780319E-2</v>
      </c>
      <c r="E36" s="85">
        <v>4985</v>
      </c>
      <c r="F36" s="86">
        <v>0</v>
      </c>
      <c r="G36" s="72"/>
      <c r="H36" s="82" t="s">
        <v>81</v>
      </c>
      <c r="I36" s="102">
        <v>1.459491823007842E-2</v>
      </c>
      <c r="J36" s="72"/>
      <c r="K36" s="2">
        <f t="shared" si="2"/>
        <v>0.42039112563129899</v>
      </c>
      <c r="L36" s="2">
        <f t="shared" si="3"/>
        <v>-5.0659705840285071E-4</v>
      </c>
    </row>
    <row r="37" spans="2:12" x14ac:dyDescent="0.25">
      <c r="B37" s="82" t="s">
        <v>82</v>
      </c>
      <c r="C37" s="83">
        <v>8.0240722166499494E-4</v>
      </c>
      <c r="D37" s="84">
        <v>2.8318266750708851E-2</v>
      </c>
      <c r="E37" s="85">
        <v>4985</v>
      </c>
      <c r="F37" s="86">
        <v>0</v>
      </c>
      <c r="G37" s="72"/>
      <c r="H37" s="82" t="s">
        <v>82</v>
      </c>
      <c r="I37" s="102">
        <v>1.0327010105341488E-2</v>
      </c>
      <c r="J37" s="72"/>
      <c r="K37" s="2">
        <f t="shared" si="2"/>
        <v>0.36438401151781158</v>
      </c>
      <c r="L37" s="2">
        <f t="shared" si="3"/>
        <v>-2.9261916202996311E-4</v>
      </c>
    </row>
    <row r="38" spans="2:12" ht="23" x14ac:dyDescent="0.25">
      <c r="B38" s="82" t="s">
        <v>83</v>
      </c>
      <c r="C38" s="83">
        <v>6.0180541624874626E-4</v>
      </c>
      <c r="D38" s="84">
        <v>2.4526800062348069E-2</v>
      </c>
      <c r="E38" s="85">
        <v>4985</v>
      </c>
      <c r="F38" s="86">
        <v>0</v>
      </c>
      <c r="G38" s="72"/>
      <c r="H38" s="82" t="s">
        <v>83</v>
      </c>
      <c r="I38" s="102">
        <v>1.1075201870247931E-2</v>
      </c>
      <c r="J38" s="72"/>
      <c r="K38" s="2">
        <f t="shared" si="2"/>
        <v>0.45128336047261447</v>
      </c>
      <c r="L38" s="2">
        <f t="shared" si="3"/>
        <v>-2.7174831020028976E-4</v>
      </c>
    </row>
    <row r="39" spans="2:12" ht="23" x14ac:dyDescent="0.25">
      <c r="B39" s="82" t="s">
        <v>84</v>
      </c>
      <c r="C39" s="83">
        <v>2.3871614844533602E-2</v>
      </c>
      <c r="D39" s="84">
        <v>0.152664456120019</v>
      </c>
      <c r="E39" s="85">
        <v>4985</v>
      </c>
      <c r="F39" s="86">
        <v>0</v>
      </c>
      <c r="G39" s="72"/>
      <c r="H39" s="82" t="s">
        <v>84</v>
      </c>
      <c r="I39" s="102">
        <v>1.8169338899097526E-2</v>
      </c>
      <c r="J39" s="72"/>
      <c r="K39" s="2">
        <f t="shared" si="2"/>
        <v>0.11617378327392335</v>
      </c>
      <c r="L39" s="2">
        <f t="shared" si="3"/>
        <v>-2.8410769029175668E-3</v>
      </c>
    </row>
    <row r="40" spans="2:12" x14ac:dyDescent="0.25">
      <c r="B40" s="82" t="s">
        <v>85</v>
      </c>
      <c r="C40" s="83">
        <v>0.93681043129388164</v>
      </c>
      <c r="D40" s="84">
        <v>0.24332801821770417</v>
      </c>
      <c r="E40" s="85">
        <v>4985</v>
      </c>
      <c r="F40" s="86">
        <v>0</v>
      </c>
      <c r="G40" s="72"/>
      <c r="H40" s="82" t="s">
        <v>85</v>
      </c>
      <c r="I40" s="102">
        <v>-4.3668335450782643E-2</v>
      </c>
      <c r="J40" s="72"/>
      <c r="K40" s="2">
        <f t="shared" si="2"/>
        <v>-1.134017900388376E-2</v>
      </c>
      <c r="L40" s="2">
        <f t="shared" si="3"/>
        <v>0.16812265380361002</v>
      </c>
    </row>
    <row r="41" spans="2:12" ht="23" x14ac:dyDescent="0.25">
      <c r="B41" s="82" t="s">
        <v>86</v>
      </c>
      <c r="C41" s="83">
        <v>4.8144433299899701E-3</v>
      </c>
      <c r="D41" s="84">
        <v>6.9225904071804026E-2</v>
      </c>
      <c r="E41" s="85">
        <v>4985</v>
      </c>
      <c r="F41" s="86">
        <v>0</v>
      </c>
      <c r="G41" s="72"/>
      <c r="H41" s="82" t="s">
        <v>86</v>
      </c>
      <c r="I41" s="102">
        <v>-6.6251245566328011E-3</v>
      </c>
      <c r="J41" s="72"/>
      <c r="K41" s="2">
        <f t="shared" si="2"/>
        <v>-9.5242212554739539E-2</v>
      </c>
      <c r="L41" s="2">
        <f t="shared" si="3"/>
        <v>4.6075652112754459E-4</v>
      </c>
    </row>
    <row r="42" spans="2:12" ht="23" x14ac:dyDescent="0.25">
      <c r="B42" s="82" t="s">
        <v>87</v>
      </c>
      <c r="C42" s="83">
        <v>1.0030090270812439E-3</v>
      </c>
      <c r="D42" s="84">
        <v>3.1657606414785246E-2</v>
      </c>
      <c r="E42" s="85">
        <v>4985</v>
      </c>
      <c r="F42" s="86">
        <v>0</v>
      </c>
      <c r="G42" s="72"/>
      <c r="H42" s="82" t="s">
        <v>87</v>
      </c>
      <c r="I42" s="102">
        <v>-1.0302361903055775E-2</v>
      </c>
      <c r="J42" s="72"/>
      <c r="K42" s="2">
        <f t="shared" si="2"/>
        <v>-0.32510444429115154</v>
      </c>
      <c r="L42" s="2">
        <f t="shared" si="3"/>
        <v>3.2641008462967036E-4</v>
      </c>
    </row>
    <row r="43" spans="2:12" x14ac:dyDescent="0.25">
      <c r="B43" s="82" t="s">
        <v>88</v>
      </c>
      <c r="C43" s="83">
        <v>2.607823470411233E-3</v>
      </c>
      <c r="D43" s="84">
        <v>5.10053389529204E-2</v>
      </c>
      <c r="E43" s="85">
        <v>4985</v>
      </c>
      <c r="F43" s="86">
        <v>0</v>
      </c>
      <c r="G43" s="72"/>
      <c r="H43" s="82" t="s">
        <v>88</v>
      </c>
      <c r="I43" s="102">
        <v>-1.1876330026886161E-2</v>
      </c>
      <c r="J43" s="72"/>
      <c r="K43" s="2">
        <f t="shared" si="2"/>
        <v>-0.23223762252875824</v>
      </c>
      <c r="L43" s="2">
        <f t="shared" si="3"/>
        <v>6.0721824072281904E-4</v>
      </c>
    </row>
    <row r="44" spans="2:12" ht="23" x14ac:dyDescent="0.25">
      <c r="B44" s="82" t="s">
        <v>89</v>
      </c>
      <c r="C44" s="83">
        <v>6.0180541624874628E-3</v>
      </c>
      <c r="D44" s="84">
        <v>7.735009628105502E-2</v>
      </c>
      <c r="E44" s="85">
        <v>4985</v>
      </c>
      <c r="F44" s="86">
        <v>0</v>
      </c>
      <c r="G44" s="72"/>
      <c r="H44" s="82" t="s">
        <v>89</v>
      </c>
      <c r="I44" s="102">
        <v>-2.8242398142948803E-3</v>
      </c>
      <c r="J44" s="72"/>
      <c r="K44" s="2">
        <f t="shared" si="2"/>
        <v>-3.6292694141250408E-2</v>
      </c>
      <c r="L44" s="2">
        <f t="shared" si="3"/>
        <v>2.1973376876640004E-4</v>
      </c>
    </row>
    <row r="45" spans="2:12" x14ac:dyDescent="0.25">
      <c r="B45" s="82" t="s">
        <v>90</v>
      </c>
      <c r="C45" s="83">
        <v>4.0120361083249747E-4</v>
      </c>
      <c r="D45" s="84">
        <v>2.0028058131425205E-2</v>
      </c>
      <c r="E45" s="85">
        <v>4985</v>
      </c>
      <c r="F45" s="86">
        <v>0</v>
      </c>
      <c r="G45" s="72"/>
      <c r="H45" s="82" t="s">
        <v>90</v>
      </c>
      <c r="I45" s="102">
        <v>-3.6922796481436379E-3</v>
      </c>
      <c r="J45" s="72"/>
      <c r="K45" s="2">
        <f t="shared" si="2"/>
        <v>-0.18428138504478969</v>
      </c>
      <c r="L45" s="2">
        <f t="shared" si="3"/>
        <v>7.3964031725783525E-5</v>
      </c>
    </row>
    <row r="46" spans="2:12" x14ac:dyDescent="0.25">
      <c r="B46" s="82" t="s">
        <v>91</v>
      </c>
      <c r="C46" s="83">
        <v>2.7281845536609829E-2</v>
      </c>
      <c r="D46" s="84">
        <v>0.16291982994272766</v>
      </c>
      <c r="E46" s="85">
        <v>4985</v>
      </c>
      <c r="F46" s="86">
        <v>0</v>
      </c>
      <c r="G46" s="72"/>
      <c r="H46" s="82" t="s">
        <v>91</v>
      </c>
      <c r="I46" s="102">
        <v>7.1570323390368618E-2</v>
      </c>
      <c r="J46" s="72"/>
      <c r="K46" s="2">
        <f t="shared" si="2"/>
        <v>0.42731294838142531</v>
      </c>
      <c r="L46" s="2">
        <f t="shared" si="3"/>
        <v>-1.1984854811275281E-2</v>
      </c>
    </row>
    <row r="47" spans="2:12" x14ac:dyDescent="0.25">
      <c r="B47" s="82" t="s">
        <v>92</v>
      </c>
      <c r="C47" s="83">
        <v>0.57452357071213633</v>
      </c>
      <c r="D47" s="84">
        <v>0.49446464343127322</v>
      </c>
      <c r="E47" s="85">
        <v>4985</v>
      </c>
      <c r="F47" s="86">
        <v>0</v>
      </c>
      <c r="G47" s="72"/>
      <c r="H47" s="82" t="s">
        <v>92</v>
      </c>
      <c r="I47" s="102">
        <v>8.0236222372811888E-2</v>
      </c>
      <c r="J47" s="72"/>
      <c r="K47" s="2">
        <f t="shared" si="2"/>
        <v>6.904158234212758E-2</v>
      </c>
      <c r="L47" s="2">
        <f t="shared" si="3"/>
        <v>-9.32272945911614E-2</v>
      </c>
    </row>
    <row r="48" spans="2:12" x14ac:dyDescent="0.25">
      <c r="B48" s="82" t="s">
        <v>93</v>
      </c>
      <c r="C48" s="83">
        <v>0.12798395185556669</v>
      </c>
      <c r="D48" s="84">
        <v>0.33410545100444361</v>
      </c>
      <c r="E48" s="85">
        <v>4985</v>
      </c>
      <c r="F48" s="86">
        <v>0</v>
      </c>
      <c r="G48" s="72"/>
      <c r="H48" s="82" t="s">
        <v>93</v>
      </c>
      <c r="I48" s="102">
        <v>0.10739021227705899</v>
      </c>
      <c r="J48" s="72"/>
      <c r="K48" s="2">
        <f t="shared" si="2"/>
        <v>0.28028871794129245</v>
      </c>
      <c r="L48" s="2">
        <f t="shared" si="3"/>
        <v>-4.1137382573394186E-2</v>
      </c>
    </row>
    <row r="49" spans="2:12" x14ac:dyDescent="0.25">
      <c r="B49" s="82" t="s">
        <v>94</v>
      </c>
      <c r="C49" s="83">
        <v>1.2036108324974925E-3</v>
      </c>
      <c r="D49" s="84">
        <v>3.4675688280779528E-2</v>
      </c>
      <c r="E49" s="85">
        <v>4985</v>
      </c>
      <c r="F49" s="86">
        <v>0</v>
      </c>
      <c r="G49" s="72"/>
      <c r="H49" s="82" t="s">
        <v>94</v>
      </c>
      <c r="I49" s="102">
        <v>1.6132294379239881E-2</v>
      </c>
      <c r="J49" s="72"/>
      <c r="K49" s="2">
        <f t="shared" si="2"/>
        <v>0.46467361352718223</v>
      </c>
      <c r="L49" s="2">
        <f t="shared" si="3"/>
        <v>-5.5996016894217587E-4</v>
      </c>
    </row>
    <row r="50" spans="2:12" x14ac:dyDescent="0.25">
      <c r="B50" s="82" t="s">
        <v>95</v>
      </c>
      <c r="C50" s="83">
        <v>7.2216649949849547E-3</v>
      </c>
      <c r="D50" s="84">
        <v>8.4681468193539666E-2</v>
      </c>
      <c r="E50" s="85">
        <v>4985</v>
      </c>
      <c r="F50" s="86">
        <v>0</v>
      </c>
      <c r="G50" s="72"/>
      <c r="H50" s="82" t="s">
        <v>95</v>
      </c>
      <c r="I50" s="102">
        <v>5.7225430260757514E-2</v>
      </c>
      <c r="J50" s="72"/>
      <c r="K50" s="2">
        <f t="shared" si="2"/>
        <v>0.67089256464444058</v>
      </c>
      <c r="L50" s="2">
        <f t="shared" si="3"/>
        <v>-4.8802045518690357E-3</v>
      </c>
    </row>
    <row r="51" spans="2:12" x14ac:dyDescent="0.25">
      <c r="B51" s="82" t="s">
        <v>96</v>
      </c>
      <c r="C51" s="83">
        <v>8.826479438314945E-3</v>
      </c>
      <c r="D51" s="84">
        <v>9.3543188050443773E-2</v>
      </c>
      <c r="E51" s="85">
        <v>4985</v>
      </c>
      <c r="F51" s="86">
        <v>0</v>
      </c>
      <c r="G51" s="72"/>
      <c r="H51" s="82" t="s">
        <v>96</v>
      </c>
      <c r="I51" s="102">
        <v>4.2980497137020998E-2</v>
      </c>
      <c r="J51" s="72"/>
      <c r="K51" s="2">
        <f t="shared" si="2"/>
        <v>0.45541670698479497</v>
      </c>
      <c r="L51" s="2">
        <f t="shared" si="3"/>
        <v>-4.05552218322829E-3</v>
      </c>
    </row>
    <row r="52" spans="2:12" x14ac:dyDescent="0.25">
      <c r="B52" s="82" t="s">
        <v>97</v>
      </c>
      <c r="C52" s="83">
        <v>0.62407221664994983</v>
      </c>
      <c r="D52" s="84">
        <v>0.48441011230411157</v>
      </c>
      <c r="E52" s="85">
        <v>4985</v>
      </c>
      <c r="F52" s="86">
        <v>0</v>
      </c>
      <c r="G52" s="72"/>
      <c r="H52" s="82" t="s">
        <v>97</v>
      </c>
      <c r="I52" s="102">
        <v>6.5966488835958251E-2</v>
      </c>
      <c r="J52" s="72"/>
      <c r="K52" s="2">
        <f t="shared" si="2"/>
        <v>5.1193472831382779E-2</v>
      </c>
      <c r="L52" s="2">
        <f t="shared" si="3"/>
        <v>-8.4985535740892112E-2</v>
      </c>
    </row>
    <row r="53" spans="2:12" x14ac:dyDescent="0.25">
      <c r="B53" s="82" t="s">
        <v>98</v>
      </c>
      <c r="C53" s="83">
        <v>1.2437311935807422E-2</v>
      </c>
      <c r="D53" s="84">
        <v>0.11083812348996283</v>
      </c>
      <c r="E53" s="85">
        <v>4985</v>
      </c>
      <c r="F53" s="86">
        <v>0</v>
      </c>
      <c r="G53" s="72"/>
      <c r="H53" s="82" t="s">
        <v>98</v>
      </c>
      <c r="I53" s="102">
        <v>6.6260903566533066E-2</v>
      </c>
      <c r="J53" s="72"/>
      <c r="K53" s="2">
        <f t="shared" si="2"/>
        <v>0.5903816663375161</v>
      </c>
      <c r="L53" s="2">
        <f t="shared" si="3"/>
        <v>-7.4352352859894371E-3</v>
      </c>
    </row>
    <row r="54" spans="2:12" x14ac:dyDescent="0.25">
      <c r="B54" s="82" t="s">
        <v>99</v>
      </c>
      <c r="C54" s="83">
        <v>3.0491474423269809E-2</v>
      </c>
      <c r="D54" s="84">
        <v>0.17195253920747916</v>
      </c>
      <c r="E54" s="85">
        <v>4985</v>
      </c>
      <c r="F54" s="86">
        <v>0</v>
      </c>
      <c r="G54" s="72"/>
      <c r="H54" s="82" t="s">
        <v>99</v>
      </c>
      <c r="I54" s="102">
        <v>8.9428323290413975E-2</v>
      </c>
      <c r="J54" s="72"/>
      <c r="K54" s="2">
        <f t="shared" si="2"/>
        <v>0.50421774669738217</v>
      </c>
      <c r="L54" s="2">
        <f t="shared" si="3"/>
        <v>-1.5857872439065199E-2</v>
      </c>
    </row>
    <row r="55" spans="2:12" x14ac:dyDescent="0.25">
      <c r="B55" s="82" t="s">
        <v>100</v>
      </c>
      <c r="C55" s="83">
        <v>3.2698094282848547E-2</v>
      </c>
      <c r="D55" s="84">
        <v>0.17786307937961346</v>
      </c>
      <c r="E55" s="85">
        <v>4985</v>
      </c>
      <c r="F55" s="86">
        <v>0</v>
      </c>
      <c r="G55" s="72"/>
      <c r="H55" s="82" t="s">
        <v>100</v>
      </c>
      <c r="I55" s="102">
        <v>4.6407369090770749E-2</v>
      </c>
      <c r="J55" s="72"/>
      <c r="K55" s="2">
        <f t="shared" si="2"/>
        <v>0.25238479350182119</v>
      </c>
      <c r="L55" s="2">
        <f t="shared" si="3"/>
        <v>-8.5314644008288795E-3</v>
      </c>
    </row>
    <row r="56" spans="2:12" x14ac:dyDescent="0.25">
      <c r="B56" s="82" t="s">
        <v>101</v>
      </c>
      <c r="C56" s="83">
        <v>0.46439317953861586</v>
      </c>
      <c r="D56" s="84">
        <v>0.49878057346603838</v>
      </c>
      <c r="E56" s="85">
        <v>4985</v>
      </c>
      <c r="F56" s="86">
        <v>0</v>
      </c>
      <c r="G56" s="72"/>
      <c r="H56" s="82" t="s">
        <v>101</v>
      </c>
      <c r="I56" s="102">
        <v>4.6152760846893598E-2</v>
      </c>
      <c r="J56" s="72"/>
      <c r="K56" s="2">
        <f t="shared" si="2"/>
        <v>4.9560337366271717E-2</v>
      </c>
      <c r="L56" s="2">
        <f t="shared" si="3"/>
        <v>-4.2970854308209377E-2</v>
      </c>
    </row>
    <row r="57" spans="2:12" x14ac:dyDescent="0.25">
      <c r="B57" s="82" t="s">
        <v>102</v>
      </c>
      <c r="C57" s="83">
        <v>0.17151454363089269</v>
      </c>
      <c r="D57" s="84">
        <v>0.37699577669941053</v>
      </c>
      <c r="E57" s="85">
        <v>4985</v>
      </c>
      <c r="F57" s="86">
        <v>0</v>
      </c>
      <c r="G57" s="72"/>
      <c r="H57" s="82" t="s">
        <v>102</v>
      </c>
      <c r="I57" s="102">
        <v>7.2048873324354307E-2</v>
      </c>
      <c r="J57" s="72"/>
      <c r="K57" s="2">
        <f t="shared" si="2"/>
        <v>0.15833451562668663</v>
      </c>
      <c r="L57" s="2">
        <f t="shared" si="3"/>
        <v>-3.2778695123684518E-2</v>
      </c>
    </row>
    <row r="58" spans="2:12" x14ac:dyDescent="0.25">
      <c r="B58" s="82" t="s">
        <v>103</v>
      </c>
      <c r="C58" s="83">
        <v>0.92116349047141421</v>
      </c>
      <c r="D58" s="84">
        <v>0.26951045468337359</v>
      </c>
      <c r="E58" s="85">
        <v>4985</v>
      </c>
      <c r="F58" s="86">
        <v>0</v>
      </c>
      <c r="G58" s="72"/>
      <c r="H58" s="82" t="s">
        <v>103</v>
      </c>
      <c r="I58" s="102">
        <v>6.4498012994831017E-2</v>
      </c>
      <c r="J58" s="72"/>
      <c r="K58" s="2">
        <f t="shared" si="2"/>
        <v>1.8866793950593014E-2</v>
      </c>
      <c r="L58" s="2">
        <f t="shared" si="3"/>
        <v>-0.22044864585527502</v>
      </c>
    </row>
    <row r="59" spans="2:12" x14ac:dyDescent="0.25">
      <c r="B59" s="82" t="s">
        <v>104</v>
      </c>
      <c r="C59" s="83">
        <v>0.87001003009027078</v>
      </c>
      <c r="D59" s="84">
        <v>0.33632613451786114</v>
      </c>
      <c r="E59" s="85">
        <v>4985</v>
      </c>
      <c r="F59" s="86">
        <v>0</v>
      </c>
      <c r="G59" s="72"/>
      <c r="H59" s="82" t="s">
        <v>104</v>
      </c>
      <c r="I59" s="102">
        <v>2.864603033977562E-2</v>
      </c>
      <c r="J59" s="72"/>
      <c r="K59" s="2">
        <f t="shared" si="2"/>
        <v>1.1071683820345129E-2</v>
      </c>
      <c r="L59" s="2">
        <f t="shared" si="3"/>
        <v>-7.4101686309933357E-2</v>
      </c>
    </row>
    <row r="60" spans="2:12" x14ac:dyDescent="0.25">
      <c r="B60" s="82" t="s">
        <v>105</v>
      </c>
      <c r="C60" s="83">
        <v>0.52738214643931802</v>
      </c>
      <c r="D60" s="84">
        <v>0.49929973776502629</v>
      </c>
      <c r="E60" s="85">
        <v>4985</v>
      </c>
      <c r="F60" s="86">
        <v>0</v>
      </c>
      <c r="G60" s="72"/>
      <c r="H60" s="82" t="s">
        <v>105</v>
      </c>
      <c r="I60" s="102">
        <v>0.11109484121873914</v>
      </c>
      <c r="J60" s="72"/>
      <c r="K60" s="2">
        <f t="shared" si="2"/>
        <v>0.10515808727136695</v>
      </c>
      <c r="L60" s="2">
        <f t="shared" si="3"/>
        <v>-0.11734321368269261</v>
      </c>
    </row>
    <row r="61" spans="2:12" x14ac:dyDescent="0.25">
      <c r="B61" s="82" t="s">
        <v>106</v>
      </c>
      <c r="C61" s="83">
        <v>0.43109327983951856</v>
      </c>
      <c r="D61" s="84">
        <v>0.49527878185380514</v>
      </c>
      <c r="E61" s="85">
        <v>4985</v>
      </c>
      <c r="F61" s="86">
        <v>0</v>
      </c>
      <c r="G61" s="72"/>
      <c r="H61" s="82" t="s">
        <v>106</v>
      </c>
      <c r="I61" s="102">
        <v>5.7255915346864548E-2</v>
      </c>
      <c r="J61" s="72"/>
      <c r="K61" s="2">
        <f t="shared" si="2"/>
        <v>6.5767555976960393E-2</v>
      </c>
      <c r="L61" s="2">
        <f t="shared" si="3"/>
        <v>-4.9835852536843396E-2</v>
      </c>
    </row>
    <row r="62" spans="2:12" x14ac:dyDescent="0.25">
      <c r="B62" s="82" t="s">
        <v>107</v>
      </c>
      <c r="C62" s="83">
        <v>8.4252758274824466E-3</v>
      </c>
      <c r="D62" s="84">
        <v>9.1410977331690429E-2</v>
      </c>
      <c r="E62" s="85">
        <v>4985</v>
      </c>
      <c r="F62" s="86">
        <v>0</v>
      </c>
      <c r="G62" s="72"/>
      <c r="H62" s="82" t="s">
        <v>107</v>
      </c>
      <c r="I62" s="102">
        <v>4.5364654848150873E-2</v>
      </c>
      <c r="J62" s="72"/>
      <c r="K62" s="2">
        <f t="shared" si="2"/>
        <v>0.4920901890701273</v>
      </c>
      <c r="L62" s="2">
        <f t="shared" si="3"/>
        <v>-4.1812235365052287E-3</v>
      </c>
    </row>
    <row r="63" spans="2:12" x14ac:dyDescent="0.25">
      <c r="B63" s="82" t="s">
        <v>108</v>
      </c>
      <c r="C63" s="83">
        <v>1.8054162487462387E-3</v>
      </c>
      <c r="D63" s="84">
        <v>4.2456075058137102E-2</v>
      </c>
      <c r="E63" s="85">
        <v>4985</v>
      </c>
      <c r="F63" s="86">
        <v>0</v>
      </c>
      <c r="G63" s="72"/>
      <c r="H63" s="82" t="s">
        <v>108</v>
      </c>
      <c r="I63" s="102">
        <v>4.5376881225807795E-3</v>
      </c>
      <c r="J63" s="72"/>
      <c r="K63" s="2">
        <f t="shared" si="2"/>
        <v>0.10668663319701781</v>
      </c>
      <c r="L63" s="2">
        <f t="shared" si="3"/>
        <v>-1.9296215811357722E-4</v>
      </c>
    </row>
    <row r="64" spans="2:12" x14ac:dyDescent="0.25">
      <c r="B64" s="82" t="s">
        <v>109</v>
      </c>
      <c r="C64" s="83">
        <v>0.10330992978936811</v>
      </c>
      <c r="D64" s="84">
        <v>0.30439378290616609</v>
      </c>
      <c r="E64" s="85">
        <v>4985</v>
      </c>
      <c r="F64" s="86">
        <v>0</v>
      </c>
      <c r="G64" s="72"/>
      <c r="H64" s="82" t="s">
        <v>109</v>
      </c>
      <c r="I64" s="102">
        <v>0.10227448889323115</v>
      </c>
      <c r="J64" s="72"/>
      <c r="K64" s="2">
        <f t="shared" si="2"/>
        <v>0.30128249582120553</v>
      </c>
      <c r="L64" s="2">
        <f t="shared" si="3"/>
        <v>-3.4711517974926366E-2</v>
      </c>
    </row>
    <row r="65" spans="2:12" ht="23" x14ac:dyDescent="0.25">
      <c r="B65" s="82" t="s">
        <v>110</v>
      </c>
      <c r="C65" s="83">
        <v>0.40782347041123368</v>
      </c>
      <c r="D65" s="84">
        <v>0.49147934152808198</v>
      </c>
      <c r="E65" s="85">
        <v>4985</v>
      </c>
      <c r="F65" s="86">
        <v>0</v>
      </c>
      <c r="G65" s="72"/>
      <c r="H65" s="82" t="s">
        <v>110</v>
      </c>
      <c r="I65" s="102">
        <v>-9.8466327582339502E-2</v>
      </c>
      <c r="J65" s="72"/>
      <c r="K65" s="2">
        <f t="shared" si="2"/>
        <v>-0.11864068989709257</v>
      </c>
      <c r="L65" s="2">
        <f t="shared" si="3"/>
        <v>8.1706139078858125E-2</v>
      </c>
    </row>
    <row r="66" spans="2:12" ht="23" x14ac:dyDescent="0.25">
      <c r="B66" s="82" t="s">
        <v>111</v>
      </c>
      <c r="C66" s="83">
        <v>7.4623871614844531E-2</v>
      </c>
      <c r="D66" s="84">
        <v>0.26280982623773119</v>
      </c>
      <c r="E66" s="85">
        <v>4985</v>
      </c>
      <c r="F66" s="86">
        <v>0</v>
      </c>
      <c r="G66" s="72"/>
      <c r="H66" s="82" t="s">
        <v>111</v>
      </c>
      <c r="I66" s="102">
        <v>-2.1491282366256782E-2</v>
      </c>
      <c r="J66" s="72"/>
      <c r="K66" s="2">
        <f t="shared" si="0"/>
        <v>-7.5672663974630502E-2</v>
      </c>
      <c r="L66" s="2">
        <f t="shared" si="1"/>
        <v>6.1023696073189996E-3</v>
      </c>
    </row>
    <row r="67" spans="2:12" ht="23" x14ac:dyDescent="0.25">
      <c r="B67" s="82" t="s">
        <v>112</v>
      </c>
      <c r="C67" s="83">
        <v>4.8144433299899701E-3</v>
      </c>
      <c r="D67" s="84">
        <v>6.9225904071802652E-2</v>
      </c>
      <c r="E67" s="85">
        <v>4985</v>
      </c>
      <c r="F67" s="86">
        <v>0</v>
      </c>
      <c r="G67" s="72"/>
      <c r="H67" s="82" t="s">
        <v>112</v>
      </c>
      <c r="I67" s="102">
        <v>4.8342541670266949E-2</v>
      </c>
      <c r="J67" s="72"/>
      <c r="K67" s="2">
        <f t="shared" si="0"/>
        <v>0.69496816095124181</v>
      </c>
      <c r="L67" s="2">
        <f t="shared" si="1"/>
        <v>-3.3620713289316275E-3</v>
      </c>
    </row>
    <row r="68" spans="2:12" ht="23" x14ac:dyDescent="0.25">
      <c r="B68" s="82" t="s">
        <v>113</v>
      </c>
      <c r="C68" s="83">
        <v>0.51073219658976932</v>
      </c>
      <c r="D68" s="84">
        <v>0.49993495312894426</v>
      </c>
      <c r="E68" s="85">
        <v>4985</v>
      </c>
      <c r="F68" s="86">
        <v>0</v>
      </c>
      <c r="G68" s="72"/>
      <c r="H68" s="82" t="s">
        <v>113</v>
      </c>
      <c r="I68" s="102">
        <v>0.1009520028052104</v>
      </c>
      <c r="J68" s="72"/>
      <c r="K68" s="2">
        <f t="shared" si="0"/>
        <v>9.8797982323971065E-2</v>
      </c>
      <c r="L68" s="2">
        <f t="shared" si="1"/>
        <v>-0.10313229315163196</v>
      </c>
    </row>
    <row r="69" spans="2:12" ht="23" x14ac:dyDescent="0.25">
      <c r="B69" s="82" t="s">
        <v>114</v>
      </c>
      <c r="C69" s="83">
        <v>1.0030090270812435E-3</v>
      </c>
      <c r="D69" s="84">
        <v>3.1657606414785114E-2</v>
      </c>
      <c r="E69" s="85">
        <v>4985</v>
      </c>
      <c r="F69" s="86">
        <v>0</v>
      </c>
      <c r="G69" s="72"/>
      <c r="H69" s="82" t="s">
        <v>114</v>
      </c>
      <c r="I69" s="102">
        <v>2.1488064013776508E-3</v>
      </c>
      <c r="J69" s="72"/>
      <c r="K69" s="2">
        <f t="shared" si="0"/>
        <v>6.780838390097188E-2</v>
      </c>
      <c r="L69" s="2">
        <f t="shared" si="1"/>
        <v>-6.8080706727883408E-5</v>
      </c>
    </row>
    <row r="70" spans="2:12" ht="23" x14ac:dyDescent="0.25">
      <c r="B70" s="82" t="s">
        <v>115</v>
      </c>
      <c r="C70" s="83">
        <v>8.0240722166499516E-4</v>
      </c>
      <c r="D70" s="84">
        <v>2.8318266750709094E-2</v>
      </c>
      <c r="E70" s="85">
        <v>4985</v>
      </c>
      <c r="F70" s="86">
        <v>0</v>
      </c>
      <c r="G70" s="72"/>
      <c r="H70" s="82" t="s">
        <v>115</v>
      </c>
      <c r="I70" s="102">
        <v>-7.9193020513375714E-4</v>
      </c>
      <c r="J70" s="72"/>
      <c r="K70" s="2">
        <f t="shared" si="0"/>
        <v>-2.7942909132964117E-2</v>
      </c>
      <c r="L70" s="2">
        <f t="shared" si="1"/>
        <v>2.2439597777927422E-5</v>
      </c>
    </row>
    <row r="71" spans="2:12" ht="23" x14ac:dyDescent="0.25">
      <c r="B71" s="82" t="s">
        <v>116</v>
      </c>
      <c r="C71" s="83">
        <v>0.13640922768304914</v>
      </c>
      <c r="D71" s="84">
        <v>0.34325702654304119</v>
      </c>
      <c r="E71" s="85">
        <v>4985</v>
      </c>
      <c r="F71" s="86">
        <v>0</v>
      </c>
      <c r="G71" s="72"/>
      <c r="H71" s="82" t="s">
        <v>116</v>
      </c>
      <c r="I71" s="102">
        <v>-7.143289473180664E-2</v>
      </c>
      <c r="J71" s="72"/>
      <c r="K71" s="2">
        <f t="shared" si="0"/>
        <v>-0.17971602606812526</v>
      </c>
      <c r="L71" s="2">
        <f t="shared" si="1"/>
        <v>2.8387200401004682E-2</v>
      </c>
    </row>
    <row r="72" spans="2:12" ht="23" x14ac:dyDescent="0.25">
      <c r="B72" s="82" t="s">
        <v>117</v>
      </c>
      <c r="C72" s="83">
        <v>4.5937813440320968E-2</v>
      </c>
      <c r="D72" s="84">
        <v>0.20937125968589201</v>
      </c>
      <c r="E72" s="85">
        <v>4985</v>
      </c>
      <c r="F72" s="86">
        <v>0</v>
      </c>
      <c r="G72" s="72"/>
      <c r="H72" s="82" t="s">
        <v>117</v>
      </c>
      <c r="I72" s="102">
        <v>-4.3838552707466692E-2</v>
      </c>
      <c r="J72" s="72"/>
      <c r="K72" s="2">
        <f t="shared" ref="K72:K111" si="4">((1-C72)/D72)*I72</f>
        <v>-0.19976335584188906</v>
      </c>
      <c r="L72" s="2">
        <f t="shared" ref="L72:L111" si="5">((0-C72)/D72)*I72</f>
        <v>9.6185467804441975E-3</v>
      </c>
    </row>
    <row r="73" spans="2:12" ht="23" x14ac:dyDescent="0.25">
      <c r="B73" s="82" t="s">
        <v>118</v>
      </c>
      <c r="C73" s="83">
        <v>1.5245737211634905E-2</v>
      </c>
      <c r="D73" s="84">
        <v>0.12254108294287069</v>
      </c>
      <c r="E73" s="85">
        <v>4985</v>
      </c>
      <c r="F73" s="86">
        <v>0</v>
      </c>
      <c r="G73" s="72"/>
      <c r="H73" s="82" t="s">
        <v>118</v>
      </c>
      <c r="I73" s="102">
        <v>-2.5679036676204987E-2</v>
      </c>
      <c r="J73" s="72"/>
      <c r="K73" s="2">
        <f t="shared" si="4"/>
        <v>-0.20635969769404452</v>
      </c>
      <c r="L73" s="2">
        <f t="shared" si="5"/>
        <v>3.1948130015781997E-3</v>
      </c>
    </row>
    <row r="74" spans="2:12" ht="23" x14ac:dyDescent="0.25">
      <c r="B74" s="82" t="s">
        <v>119</v>
      </c>
      <c r="C74" s="83">
        <v>1.4042126379137413E-2</v>
      </c>
      <c r="D74" s="84">
        <v>0.11767634827828936</v>
      </c>
      <c r="E74" s="85">
        <v>4985</v>
      </c>
      <c r="F74" s="86">
        <v>0</v>
      </c>
      <c r="G74" s="72"/>
      <c r="H74" s="82" t="s">
        <v>119</v>
      </c>
      <c r="I74" s="102">
        <v>-3.0598431557026851E-2</v>
      </c>
      <c r="J74" s="72"/>
      <c r="K74" s="2">
        <f t="shared" si="4"/>
        <v>-0.256370672233595</v>
      </c>
      <c r="L74" s="2">
        <f t="shared" si="5"/>
        <v>3.6512608456463172E-3</v>
      </c>
    </row>
    <row r="75" spans="2:12" ht="23" x14ac:dyDescent="0.25">
      <c r="B75" s="82" t="s">
        <v>120</v>
      </c>
      <c r="C75" s="83">
        <v>0.74944834503510527</v>
      </c>
      <c r="D75" s="84">
        <v>0.43337420184641562</v>
      </c>
      <c r="E75" s="85">
        <v>4985</v>
      </c>
      <c r="F75" s="86">
        <v>0</v>
      </c>
      <c r="G75" s="72"/>
      <c r="H75" s="82" t="s">
        <v>120</v>
      </c>
      <c r="I75" s="102">
        <v>0.10271264017843888</v>
      </c>
      <c r="J75" s="72"/>
      <c r="K75" s="2">
        <f t="shared" si="4"/>
        <v>5.9382450254022785E-2</v>
      </c>
      <c r="L75" s="2">
        <f t="shared" si="5"/>
        <v>-0.17762436681267338</v>
      </c>
    </row>
    <row r="76" spans="2:12" ht="23" x14ac:dyDescent="0.25">
      <c r="B76" s="82" t="s">
        <v>121</v>
      </c>
      <c r="C76" s="83">
        <v>3.5105315947843531E-2</v>
      </c>
      <c r="D76" s="84">
        <v>0.184064469887221</v>
      </c>
      <c r="E76" s="85">
        <v>4985</v>
      </c>
      <c r="F76" s="86">
        <v>0</v>
      </c>
      <c r="G76" s="72"/>
      <c r="H76" s="82" t="s">
        <v>121</v>
      </c>
      <c r="I76" s="102">
        <v>-2.7858758501008923E-2</v>
      </c>
      <c r="J76" s="72"/>
      <c r="K76" s="2">
        <f t="shared" si="4"/>
        <v>-0.14603996088102486</v>
      </c>
      <c r="L76" s="2">
        <f t="shared" si="5"/>
        <v>5.3133041900580765E-3</v>
      </c>
    </row>
    <row r="77" spans="2:12" ht="23" x14ac:dyDescent="0.25">
      <c r="B77" s="82" t="s">
        <v>122</v>
      </c>
      <c r="C77" s="83">
        <v>2.2066198595787363E-3</v>
      </c>
      <c r="D77" s="84">
        <v>4.6927523396785437E-2</v>
      </c>
      <c r="E77" s="85">
        <v>4985</v>
      </c>
      <c r="F77" s="86">
        <v>0</v>
      </c>
      <c r="G77" s="72"/>
      <c r="H77" s="82" t="s">
        <v>122</v>
      </c>
      <c r="I77" s="102">
        <v>2.2187524607622792E-2</v>
      </c>
      <c r="J77" s="72"/>
      <c r="K77" s="2">
        <f t="shared" si="4"/>
        <v>0.47176078285659595</v>
      </c>
      <c r="L77" s="2">
        <f t="shared" si="5"/>
        <v>-1.0432988764420095E-3</v>
      </c>
    </row>
    <row r="78" spans="2:12" ht="23" x14ac:dyDescent="0.25">
      <c r="B78" s="82" t="s">
        <v>123</v>
      </c>
      <c r="C78" s="83">
        <v>6.5195586760280852E-2</v>
      </c>
      <c r="D78" s="84">
        <v>0.24689542397906428</v>
      </c>
      <c r="E78" s="85">
        <v>4985</v>
      </c>
      <c r="F78" s="86">
        <v>0</v>
      </c>
      <c r="G78" s="72"/>
      <c r="H78" s="82" t="s">
        <v>123</v>
      </c>
      <c r="I78" s="102">
        <v>-2.0073735220800314E-2</v>
      </c>
      <c r="J78" s="72"/>
      <c r="K78" s="2">
        <f t="shared" si="4"/>
        <v>-7.6003904698537142E-2</v>
      </c>
      <c r="L78" s="2">
        <f t="shared" si="5"/>
        <v>5.3007015079451882E-3</v>
      </c>
    </row>
    <row r="79" spans="2:12" ht="34.5" x14ac:dyDescent="0.25">
      <c r="B79" s="82" t="s">
        <v>124</v>
      </c>
      <c r="C79" s="83">
        <v>4.2126379137412233E-3</v>
      </c>
      <c r="D79" s="84">
        <v>6.4774480061342163E-2</v>
      </c>
      <c r="E79" s="85">
        <v>4985</v>
      </c>
      <c r="F79" s="86">
        <v>0</v>
      </c>
      <c r="G79" s="72"/>
      <c r="H79" s="82" t="s">
        <v>124</v>
      </c>
      <c r="I79" s="102">
        <v>-9.8117480581263652E-3</v>
      </c>
      <c r="J79" s="72"/>
      <c r="K79" s="2">
        <f t="shared" si="4"/>
        <v>-0.15083740860604258</v>
      </c>
      <c r="L79" s="2">
        <f t="shared" si="5"/>
        <v>6.3811151908277472E-4</v>
      </c>
    </row>
    <row r="80" spans="2:12" ht="23" x14ac:dyDescent="0.25">
      <c r="B80" s="82" t="s">
        <v>125</v>
      </c>
      <c r="C80" s="83">
        <v>0.67462387161484449</v>
      </c>
      <c r="D80" s="84">
        <v>0.46856221112898211</v>
      </c>
      <c r="E80" s="85">
        <v>4985</v>
      </c>
      <c r="F80" s="86">
        <v>0</v>
      </c>
      <c r="G80" s="72"/>
      <c r="H80" s="82" t="s">
        <v>125</v>
      </c>
      <c r="I80" s="102">
        <v>-5.2545378540687804E-2</v>
      </c>
      <c r="J80" s="72"/>
      <c r="K80" s="2">
        <f t="shared" si="4"/>
        <v>-3.6488243029472768E-2</v>
      </c>
      <c r="L80" s="2">
        <f t="shared" si="5"/>
        <v>7.5653490325596123E-2</v>
      </c>
    </row>
    <row r="81" spans="2:12" ht="23" x14ac:dyDescent="0.25">
      <c r="B81" s="82" t="s">
        <v>126</v>
      </c>
      <c r="C81" s="83">
        <v>3.5907723169508528E-2</v>
      </c>
      <c r="D81" s="84">
        <v>0.18607875882239797</v>
      </c>
      <c r="E81" s="85">
        <v>4985</v>
      </c>
      <c r="F81" s="86">
        <v>0</v>
      </c>
      <c r="G81" s="72"/>
      <c r="H81" s="82" t="s">
        <v>126</v>
      </c>
      <c r="I81" s="102">
        <v>-2.5367454041516871E-2</v>
      </c>
      <c r="J81" s="72"/>
      <c r="K81" s="2">
        <f t="shared" si="4"/>
        <v>-0.13143126426171681</v>
      </c>
      <c r="L81" s="2">
        <f t="shared" si="5"/>
        <v>4.8951719315121324E-3</v>
      </c>
    </row>
    <row r="82" spans="2:12" ht="34.5" x14ac:dyDescent="0.25">
      <c r="B82" s="82" t="s">
        <v>127</v>
      </c>
      <c r="C82" s="83">
        <v>1.9859578736208625E-2</v>
      </c>
      <c r="D82" s="84">
        <v>0.13953165017840383</v>
      </c>
      <c r="E82" s="85">
        <v>4985</v>
      </c>
      <c r="F82" s="86">
        <v>0</v>
      </c>
      <c r="G82" s="72"/>
      <c r="H82" s="82" t="s">
        <v>127</v>
      </c>
      <c r="I82" s="102">
        <v>4.1317016048647232E-3</v>
      </c>
      <c r="J82" s="72"/>
      <c r="K82" s="2">
        <f t="shared" si="4"/>
        <v>2.9023148126970134E-2</v>
      </c>
      <c r="L82" s="2">
        <f t="shared" si="5"/>
        <v>-5.8806624326034442E-4</v>
      </c>
    </row>
    <row r="83" spans="2:12" ht="23" x14ac:dyDescent="0.25">
      <c r="B83" s="82" t="s">
        <v>128</v>
      </c>
      <c r="C83" s="83">
        <v>0.11534603811434303</v>
      </c>
      <c r="D83" s="84">
        <v>0.31947113075784223</v>
      </c>
      <c r="E83" s="85">
        <v>4985</v>
      </c>
      <c r="F83" s="86">
        <v>0</v>
      </c>
      <c r="G83" s="72"/>
      <c r="H83" s="82" t="s">
        <v>128</v>
      </c>
      <c r="I83" s="102">
        <v>7.5182882371427368E-2</v>
      </c>
      <c r="J83" s="72"/>
      <c r="K83" s="2">
        <f t="shared" si="4"/>
        <v>0.20819043836008291</v>
      </c>
      <c r="L83" s="2">
        <f t="shared" si="5"/>
        <v>-2.7145011804319198E-2</v>
      </c>
    </row>
    <row r="84" spans="2:12" ht="34.5" x14ac:dyDescent="0.25">
      <c r="B84" s="82" t="s">
        <v>129</v>
      </c>
      <c r="C84" s="83">
        <v>4.0120361083249758E-3</v>
      </c>
      <c r="D84" s="84">
        <v>6.3219786682151544E-2</v>
      </c>
      <c r="E84" s="85">
        <v>4985</v>
      </c>
      <c r="F84" s="86">
        <v>0</v>
      </c>
      <c r="G84" s="72"/>
      <c r="H84" s="82" t="s">
        <v>129</v>
      </c>
      <c r="I84" s="102">
        <v>5.4250367442820633E-3</v>
      </c>
      <c r="J84" s="72"/>
      <c r="K84" s="2">
        <f t="shared" si="4"/>
        <v>8.5468040696513245E-2</v>
      </c>
      <c r="L84" s="2">
        <f t="shared" si="5"/>
        <v>-3.442821377503052E-4</v>
      </c>
    </row>
    <row r="85" spans="2:12" ht="23" x14ac:dyDescent="0.25">
      <c r="B85" s="82" t="s">
        <v>130</v>
      </c>
      <c r="C85" s="83">
        <v>7.4423269809428289E-2</v>
      </c>
      <c r="D85" s="84">
        <v>0.26248479544007997</v>
      </c>
      <c r="E85" s="85">
        <v>4985</v>
      </c>
      <c r="F85" s="86">
        <v>0</v>
      </c>
      <c r="G85" s="72"/>
      <c r="H85" s="82" t="s">
        <v>130</v>
      </c>
      <c r="I85" s="102">
        <v>3.7552028373031079E-2</v>
      </c>
      <c r="J85" s="72"/>
      <c r="K85" s="2">
        <f t="shared" si="4"/>
        <v>0.13241636939488205</v>
      </c>
      <c r="L85" s="2">
        <f t="shared" si="5"/>
        <v>-1.0647263338860262E-2</v>
      </c>
    </row>
    <row r="86" spans="2:12" ht="34.5" x14ac:dyDescent="0.25">
      <c r="B86" s="82" t="s">
        <v>131</v>
      </c>
      <c r="C86" s="83">
        <v>1.8054162487462387E-3</v>
      </c>
      <c r="D86" s="84">
        <v>4.2456075058136679E-2</v>
      </c>
      <c r="E86" s="85">
        <v>4985</v>
      </c>
      <c r="F86" s="86">
        <v>0</v>
      </c>
      <c r="G86" s="72"/>
      <c r="H86" s="82" t="s">
        <v>131</v>
      </c>
      <c r="I86" s="102">
        <v>1.2425846910754537E-2</v>
      </c>
      <c r="J86" s="72"/>
      <c r="K86" s="2">
        <f t="shared" si="4"/>
        <v>0.29214695583265704</v>
      </c>
      <c r="L86" s="2">
        <f t="shared" si="5"/>
        <v>-5.2840084455263523E-4</v>
      </c>
    </row>
    <row r="87" spans="2:12" ht="23" x14ac:dyDescent="0.25">
      <c r="B87" s="82" t="s">
        <v>132</v>
      </c>
      <c r="C87" s="83">
        <v>4.0120361083249749E-3</v>
      </c>
      <c r="D87" s="84">
        <v>6.3219786682149878E-2</v>
      </c>
      <c r="E87" s="85">
        <v>4985</v>
      </c>
      <c r="F87" s="86">
        <v>0</v>
      </c>
      <c r="G87" s="72"/>
      <c r="H87" s="82" t="s">
        <v>132</v>
      </c>
      <c r="I87" s="102">
        <v>-8.2507866202032841E-3</v>
      </c>
      <c r="J87" s="72"/>
      <c r="K87" s="2">
        <f t="shared" si="4"/>
        <v>-0.12998595214623224</v>
      </c>
      <c r="L87" s="2">
        <f t="shared" si="5"/>
        <v>5.2360907208955575E-4</v>
      </c>
    </row>
    <row r="88" spans="2:12" ht="23" x14ac:dyDescent="0.25">
      <c r="B88" s="82" t="s">
        <v>133</v>
      </c>
      <c r="C88" s="87">
        <v>2.413716814159292</v>
      </c>
      <c r="D88" s="88">
        <v>1.2453754351895332</v>
      </c>
      <c r="E88" s="85">
        <v>4985</v>
      </c>
      <c r="F88" s="86">
        <v>13</v>
      </c>
      <c r="G88" s="72"/>
      <c r="H88" s="82" t="s">
        <v>133</v>
      </c>
      <c r="I88" s="102">
        <v>-2.2417636165733081E-2</v>
      </c>
      <c r="J88" s="72"/>
      <c r="K88" s="2">
        <f t="shared" si="4"/>
        <v>2.5447899714176613E-2</v>
      </c>
      <c r="L88" s="2">
        <f t="shared" si="5"/>
        <v>4.3448604989306236E-2</v>
      </c>
    </row>
    <row r="89" spans="2:12" x14ac:dyDescent="0.25">
      <c r="B89" s="82" t="s">
        <v>134</v>
      </c>
      <c r="C89" s="89">
        <v>0.34122367101303908</v>
      </c>
      <c r="D89" s="90">
        <v>0.47416788134202736</v>
      </c>
      <c r="E89" s="85">
        <v>4985</v>
      </c>
      <c r="F89" s="86">
        <v>0</v>
      </c>
      <c r="G89" s="72"/>
      <c r="H89" s="82" t="s">
        <v>134</v>
      </c>
      <c r="I89" s="102">
        <v>-1.1732445239795082E-2</v>
      </c>
      <c r="J89" s="72"/>
      <c r="K89" s="2">
        <f t="shared" si="4"/>
        <v>-1.6300254633943911E-2</v>
      </c>
      <c r="L89" s="2">
        <f t="shared" si="5"/>
        <v>8.4429759842687534E-3</v>
      </c>
    </row>
    <row r="90" spans="2:12" x14ac:dyDescent="0.25">
      <c r="B90" s="82" t="s">
        <v>135</v>
      </c>
      <c r="C90" s="89">
        <v>9.1073219658976926E-2</v>
      </c>
      <c r="D90" s="90">
        <v>0.28774206721672502</v>
      </c>
      <c r="E90" s="85">
        <v>4985</v>
      </c>
      <c r="F90" s="86">
        <v>0</v>
      </c>
      <c r="G90" s="72"/>
      <c r="H90" s="82" t="s">
        <v>135</v>
      </c>
      <c r="I90" s="102">
        <v>2.2553243959817289E-2</v>
      </c>
      <c r="J90" s="72"/>
      <c r="K90" s="2">
        <f t="shared" si="4"/>
        <v>7.1241746529896455E-2</v>
      </c>
      <c r="L90" s="2">
        <f t="shared" si="5"/>
        <v>-7.1383255185550635E-3</v>
      </c>
    </row>
    <row r="91" spans="2:12" x14ac:dyDescent="0.25">
      <c r="B91" s="82" t="s">
        <v>136</v>
      </c>
      <c r="C91" s="89">
        <v>9.4684052156469412E-2</v>
      </c>
      <c r="D91" s="90">
        <v>0.29280741325391901</v>
      </c>
      <c r="E91" s="85">
        <v>4985</v>
      </c>
      <c r="F91" s="86">
        <v>0</v>
      </c>
      <c r="G91" s="72"/>
      <c r="H91" s="82" t="s">
        <v>136</v>
      </c>
      <c r="I91" s="102">
        <v>5.1619888876762027E-2</v>
      </c>
      <c r="J91" s="72"/>
      <c r="K91" s="2">
        <f t="shared" si="4"/>
        <v>0.15960083833505218</v>
      </c>
      <c r="L91" s="2">
        <f t="shared" si="5"/>
        <v>-1.6692132881485626E-2</v>
      </c>
    </row>
    <row r="92" spans="2:12" x14ac:dyDescent="0.25">
      <c r="B92" s="82" t="s">
        <v>137</v>
      </c>
      <c r="C92" s="89">
        <v>0.41925777331995989</v>
      </c>
      <c r="D92" s="90">
        <v>0.49348712779282017</v>
      </c>
      <c r="E92" s="85">
        <v>4985</v>
      </c>
      <c r="F92" s="86">
        <v>0</v>
      </c>
      <c r="G92" s="72"/>
      <c r="H92" s="82" t="s">
        <v>137</v>
      </c>
      <c r="I92" s="102">
        <v>-7.3263830934514815E-2</v>
      </c>
      <c r="J92" s="72"/>
      <c r="K92" s="2">
        <f t="shared" si="4"/>
        <v>-8.621785233247814E-2</v>
      </c>
      <c r="L92" s="2">
        <f t="shared" si="5"/>
        <v>6.2243630872151755E-2</v>
      </c>
    </row>
    <row r="93" spans="2:12" x14ac:dyDescent="0.25">
      <c r="B93" s="82" t="s">
        <v>138</v>
      </c>
      <c r="C93" s="89">
        <v>0.3049147442326981</v>
      </c>
      <c r="D93" s="90">
        <v>0.46041749250974928</v>
      </c>
      <c r="E93" s="85">
        <v>4985</v>
      </c>
      <c r="F93" s="86">
        <v>0</v>
      </c>
      <c r="G93" s="72"/>
      <c r="H93" s="82" t="s">
        <v>138</v>
      </c>
      <c r="I93" s="102">
        <v>4.2622689931193065E-2</v>
      </c>
      <c r="J93" s="72"/>
      <c r="K93" s="2">
        <f t="shared" si="4"/>
        <v>6.4346823946282633E-2</v>
      </c>
      <c r="L93" s="2">
        <f t="shared" si="5"/>
        <v>-2.8227178181341874E-2</v>
      </c>
    </row>
    <row r="94" spans="2:12" x14ac:dyDescent="0.25">
      <c r="B94" s="82" t="s">
        <v>139</v>
      </c>
      <c r="C94" s="89">
        <v>6.9809428284854563E-2</v>
      </c>
      <c r="D94" s="90">
        <v>0.25485113481069277</v>
      </c>
      <c r="E94" s="85">
        <v>4985</v>
      </c>
      <c r="F94" s="86">
        <v>0</v>
      </c>
      <c r="G94" s="72"/>
      <c r="H94" s="82" t="s">
        <v>139</v>
      </c>
      <c r="I94" s="102">
        <v>5.7944820724732872E-2</v>
      </c>
      <c r="J94" s="72"/>
      <c r="K94" s="2">
        <f t="shared" si="4"/>
        <v>0.21149494177417888</v>
      </c>
      <c r="L94" s="2">
        <f t="shared" si="5"/>
        <v>-1.5872382949625674E-2</v>
      </c>
    </row>
    <row r="95" spans="2:12" x14ac:dyDescent="0.25">
      <c r="B95" s="82" t="s">
        <v>140</v>
      </c>
      <c r="C95" s="89">
        <v>0.50110330992978946</v>
      </c>
      <c r="D95" s="90">
        <v>0.50004894058143001</v>
      </c>
      <c r="E95" s="85">
        <v>4985</v>
      </c>
      <c r="F95" s="86">
        <v>0</v>
      </c>
      <c r="G95" s="72"/>
      <c r="H95" s="82" t="s">
        <v>140</v>
      </c>
      <c r="I95" s="102">
        <v>2.1741763112328553E-2</v>
      </c>
      <c r="J95" s="72"/>
      <c r="K95" s="2">
        <f t="shared" si="4"/>
        <v>2.1691664100756076E-2</v>
      </c>
      <c r="L95" s="2">
        <f t="shared" si="5"/>
        <v>-2.1787606322351709E-2</v>
      </c>
    </row>
    <row r="96" spans="2:12" x14ac:dyDescent="0.25">
      <c r="B96" s="82" t="s">
        <v>141</v>
      </c>
      <c r="C96" s="89">
        <v>1.3039117352056168E-2</v>
      </c>
      <c r="D96" s="90">
        <v>0.11345343032783534</v>
      </c>
      <c r="E96" s="85">
        <v>4985</v>
      </c>
      <c r="F96" s="86">
        <v>0</v>
      </c>
      <c r="G96" s="72"/>
      <c r="H96" s="82" t="s">
        <v>141</v>
      </c>
      <c r="I96" s="102">
        <v>2.0868683406734031E-2</v>
      </c>
      <c r="J96" s="72"/>
      <c r="K96" s="2">
        <f t="shared" si="4"/>
        <v>0.18154210177069835</v>
      </c>
      <c r="L96" s="2">
        <f t="shared" si="5"/>
        <v>-2.3984220762389009E-3</v>
      </c>
    </row>
    <row r="97" spans="2:12" x14ac:dyDescent="0.25">
      <c r="B97" s="82" t="s">
        <v>142</v>
      </c>
      <c r="C97" s="89">
        <v>3.2096288866599798E-3</v>
      </c>
      <c r="D97" s="90">
        <v>5.6568269273916449E-2</v>
      </c>
      <c r="E97" s="85">
        <v>4985</v>
      </c>
      <c r="F97" s="86">
        <v>0</v>
      </c>
      <c r="G97" s="72"/>
      <c r="H97" s="82" t="s">
        <v>142</v>
      </c>
      <c r="I97" s="102">
        <v>3.8826395442941486E-3</v>
      </c>
      <c r="J97" s="72"/>
      <c r="K97" s="2">
        <f t="shared" si="4"/>
        <v>6.8416053061761739E-2</v>
      </c>
      <c r="L97" s="2">
        <f t="shared" si="5"/>
        <v>-2.20297212515232E-4</v>
      </c>
    </row>
    <row r="98" spans="2:12" x14ac:dyDescent="0.25">
      <c r="B98" s="82" t="s">
        <v>143</v>
      </c>
      <c r="C98" s="89">
        <v>0.30732196589769306</v>
      </c>
      <c r="D98" s="90">
        <v>0.46143026221411948</v>
      </c>
      <c r="E98" s="85">
        <v>4985</v>
      </c>
      <c r="F98" s="86">
        <v>0</v>
      </c>
      <c r="G98" s="72"/>
      <c r="H98" s="82" t="s">
        <v>143</v>
      </c>
      <c r="I98" s="102">
        <v>-5.4302788685467882E-2</v>
      </c>
      <c r="J98" s="72"/>
      <c r="K98" s="2">
        <f t="shared" si="4"/>
        <v>-8.1516866129314539E-2</v>
      </c>
      <c r="L98" s="2">
        <f t="shared" si="5"/>
        <v>3.6166764816133762E-2</v>
      </c>
    </row>
    <row r="99" spans="2:12" x14ac:dyDescent="0.25">
      <c r="B99" s="82" t="s">
        <v>144</v>
      </c>
      <c r="C99" s="89">
        <v>0.18014042126379137</v>
      </c>
      <c r="D99" s="90">
        <v>0.38434292329327824</v>
      </c>
      <c r="E99" s="85">
        <v>4985</v>
      </c>
      <c r="F99" s="86">
        <v>0</v>
      </c>
      <c r="G99" s="72"/>
      <c r="H99" s="82" t="s">
        <v>144</v>
      </c>
      <c r="I99" s="102">
        <v>1.0604517046367824E-2</v>
      </c>
      <c r="J99" s="72"/>
      <c r="K99" s="2">
        <f t="shared" si="4"/>
        <v>2.2620983375572199E-2</v>
      </c>
      <c r="L99" s="2">
        <f t="shared" si="5"/>
        <v>-4.9703065992815843E-3</v>
      </c>
    </row>
    <row r="100" spans="2:12" x14ac:dyDescent="0.25">
      <c r="B100" s="82" t="s">
        <v>145</v>
      </c>
      <c r="C100" s="89">
        <v>0.15165496489468405</v>
      </c>
      <c r="D100" s="90">
        <v>0.35872210730421589</v>
      </c>
      <c r="E100" s="85">
        <v>4985</v>
      </c>
      <c r="F100" s="86">
        <v>0</v>
      </c>
      <c r="G100" s="72"/>
      <c r="H100" s="82" t="s">
        <v>145</v>
      </c>
      <c r="I100" s="102">
        <v>6.135995092204867E-2</v>
      </c>
      <c r="J100" s="72"/>
      <c r="K100" s="2">
        <f t="shared" si="4"/>
        <v>0.14511068222199325</v>
      </c>
      <c r="L100" s="2">
        <f t="shared" si="5"/>
        <v>-2.5940807699178746E-2</v>
      </c>
    </row>
    <row r="101" spans="2:12" x14ac:dyDescent="0.25">
      <c r="B101" s="82" t="s">
        <v>146</v>
      </c>
      <c r="C101" s="89">
        <v>0.2493480441323972</v>
      </c>
      <c r="D101" s="90">
        <v>0.43267904029987336</v>
      </c>
      <c r="E101" s="85">
        <v>4985</v>
      </c>
      <c r="F101" s="86">
        <v>0</v>
      </c>
      <c r="G101" s="72"/>
      <c r="H101" s="82" t="s">
        <v>146</v>
      </c>
      <c r="I101" s="102">
        <v>-4.1098211891745229E-2</v>
      </c>
      <c r="J101" s="72"/>
      <c r="K101" s="2">
        <f t="shared" si="4"/>
        <v>-7.1301011294234301E-2</v>
      </c>
      <c r="L101" s="2">
        <f t="shared" si="5"/>
        <v>2.3684435339052175E-2</v>
      </c>
    </row>
    <row r="102" spans="2:12" x14ac:dyDescent="0.25">
      <c r="B102" s="82" t="s">
        <v>147</v>
      </c>
      <c r="C102" s="89">
        <v>0.15446339017051153</v>
      </c>
      <c r="D102" s="90">
        <v>0.36142863197730379</v>
      </c>
      <c r="E102" s="85">
        <v>4985</v>
      </c>
      <c r="F102" s="86">
        <v>0</v>
      </c>
      <c r="G102" s="72"/>
      <c r="H102" s="82" t="s">
        <v>147</v>
      </c>
      <c r="I102" s="102">
        <v>1.5531543645272046E-2</v>
      </c>
      <c r="J102" s="72"/>
      <c r="K102" s="2">
        <f t="shared" si="4"/>
        <v>3.6334943049190209E-2</v>
      </c>
      <c r="L102" s="2">
        <f t="shared" si="5"/>
        <v>-6.6377001537073453E-3</v>
      </c>
    </row>
    <row r="103" spans="2:12" x14ac:dyDescent="0.25">
      <c r="B103" s="82" t="s">
        <v>148</v>
      </c>
      <c r="C103" s="89">
        <v>0.14102306920762286</v>
      </c>
      <c r="D103" s="90">
        <v>0.34808026092721428</v>
      </c>
      <c r="E103" s="85">
        <v>4985</v>
      </c>
      <c r="F103" s="86">
        <v>0</v>
      </c>
      <c r="G103" s="72"/>
      <c r="H103" s="82" t="s">
        <v>148</v>
      </c>
      <c r="I103" s="102">
        <v>6.4950128599891341E-2</v>
      </c>
      <c r="J103" s="72"/>
      <c r="K103" s="2">
        <f t="shared" si="4"/>
        <v>0.16028102820507548</v>
      </c>
      <c r="L103" s="2">
        <f t="shared" si="5"/>
        <v>-2.6314236998638031E-2</v>
      </c>
    </row>
    <row r="104" spans="2:12" x14ac:dyDescent="0.25">
      <c r="B104" s="82" t="s">
        <v>149</v>
      </c>
      <c r="C104" s="89">
        <v>0.2772316950852558</v>
      </c>
      <c r="D104" s="90">
        <v>0.44767676490196923</v>
      </c>
      <c r="E104" s="85">
        <v>4985</v>
      </c>
      <c r="F104" s="86">
        <v>0</v>
      </c>
      <c r="G104" s="72"/>
      <c r="H104" s="82" t="s">
        <v>149</v>
      </c>
      <c r="I104" s="102">
        <v>-5.2618311110566716E-2</v>
      </c>
      <c r="J104" s="72"/>
      <c r="K104" s="2">
        <f t="shared" si="4"/>
        <v>-8.4951577813489665E-2</v>
      </c>
      <c r="L104" s="2">
        <f t="shared" si="5"/>
        <v>3.2584812805507284E-2</v>
      </c>
    </row>
    <row r="105" spans="2:12" x14ac:dyDescent="0.25">
      <c r="B105" s="82" t="s">
        <v>150</v>
      </c>
      <c r="C105" s="89">
        <v>0.37111334002006019</v>
      </c>
      <c r="D105" s="90">
        <v>0.48315117341569286</v>
      </c>
      <c r="E105" s="85">
        <v>4985</v>
      </c>
      <c r="F105" s="86">
        <v>0</v>
      </c>
      <c r="G105" s="72"/>
      <c r="H105" s="82" t="s">
        <v>150</v>
      </c>
      <c r="I105" s="102">
        <v>1.9898241403453257E-2</v>
      </c>
      <c r="J105" s="72"/>
      <c r="K105" s="2">
        <f t="shared" si="4"/>
        <v>2.5900254960005486E-2</v>
      </c>
      <c r="L105" s="2">
        <f t="shared" si="5"/>
        <v>-1.5284042001917113E-2</v>
      </c>
    </row>
    <row r="106" spans="2:12" x14ac:dyDescent="0.25">
      <c r="B106" s="82" t="s">
        <v>151</v>
      </c>
      <c r="C106" s="89">
        <v>0.10351053159478435</v>
      </c>
      <c r="D106" s="90">
        <v>0.30465508406097797</v>
      </c>
      <c r="E106" s="85">
        <v>4985</v>
      </c>
      <c r="F106" s="86">
        <v>0</v>
      </c>
      <c r="G106" s="72"/>
      <c r="H106" s="82" t="s">
        <v>151</v>
      </c>
      <c r="I106" s="102">
        <v>5.5419746442063524E-2</v>
      </c>
      <c r="J106" s="72"/>
      <c r="K106" s="2">
        <f t="shared" si="4"/>
        <v>0.16308022293517041</v>
      </c>
      <c r="L106" s="2">
        <f t="shared" si="5"/>
        <v>-1.8829580450782712E-2</v>
      </c>
    </row>
    <row r="107" spans="2:12" x14ac:dyDescent="0.25">
      <c r="B107" s="82" t="s">
        <v>152</v>
      </c>
      <c r="C107" s="89">
        <v>0.12597793380140421</v>
      </c>
      <c r="D107" s="90">
        <v>0.331857780066036</v>
      </c>
      <c r="E107" s="85">
        <v>4985</v>
      </c>
      <c r="F107" s="86">
        <v>0</v>
      </c>
      <c r="G107" s="72"/>
      <c r="H107" s="82" t="s">
        <v>152</v>
      </c>
      <c r="I107" s="102">
        <v>-2.1703602550734755E-2</v>
      </c>
      <c r="J107" s="72"/>
      <c r="K107" s="2">
        <f t="shared" si="4"/>
        <v>-5.7161316337292441E-2</v>
      </c>
      <c r="L107" s="2">
        <f t="shared" si="5"/>
        <v>8.2389962496717123E-3</v>
      </c>
    </row>
    <row r="108" spans="2:12" x14ac:dyDescent="0.25">
      <c r="B108" s="82" t="s">
        <v>153</v>
      </c>
      <c r="C108" s="89">
        <v>3.610832497492477E-2</v>
      </c>
      <c r="D108" s="90">
        <v>0.18657839395706305</v>
      </c>
      <c r="E108" s="85">
        <v>4985</v>
      </c>
      <c r="F108" s="86">
        <v>0</v>
      </c>
      <c r="G108" s="72"/>
      <c r="H108" s="82" t="s">
        <v>153</v>
      </c>
      <c r="I108" s="102">
        <v>1.4303737943408192E-2</v>
      </c>
      <c r="J108" s="72"/>
      <c r="K108" s="2">
        <f t="shared" si="4"/>
        <v>7.3895233167053015E-2</v>
      </c>
      <c r="L108" s="2">
        <f t="shared" si="5"/>
        <v>-2.7681877148948049E-3</v>
      </c>
    </row>
    <row r="109" spans="2:12" x14ac:dyDescent="0.25">
      <c r="B109" s="82" t="s">
        <v>154</v>
      </c>
      <c r="C109" s="89">
        <v>1.8655967903711136E-2</v>
      </c>
      <c r="D109" s="90">
        <v>0.13532034623265551</v>
      </c>
      <c r="E109" s="85">
        <v>4985</v>
      </c>
      <c r="F109" s="86">
        <v>0</v>
      </c>
      <c r="G109" s="72"/>
      <c r="H109" s="82" t="s">
        <v>154</v>
      </c>
      <c r="I109" s="102">
        <v>2.9913833077487097E-2</v>
      </c>
      <c r="J109" s="72"/>
      <c r="K109" s="2">
        <f t="shared" si="4"/>
        <v>0.21693531227924387</v>
      </c>
      <c r="L109" s="2">
        <f t="shared" si="5"/>
        <v>-4.124076868759134E-3</v>
      </c>
    </row>
    <row r="110" spans="2:12" ht="15" thickBot="1" x14ac:dyDescent="0.3">
      <c r="B110" s="91" t="s">
        <v>155</v>
      </c>
      <c r="C110" s="92">
        <v>3.2273194815881507</v>
      </c>
      <c r="D110" s="93">
        <v>4.407914412151932</v>
      </c>
      <c r="E110" s="94">
        <v>4985</v>
      </c>
      <c r="F110" s="95">
        <v>124</v>
      </c>
      <c r="G110" s="72"/>
      <c r="H110" s="91" t="s">
        <v>155</v>
      </c>
      <c r="I110" s="103">
        <v>4.030488210352981E-2</v>
      </c>
      <c r="J110" s="72"/>
      <c r="K110" s="2">
        <f t="shared" si="4"/>
        <v>-2.0366059936376843E-2</v>
      </c>
      <c r="L110" s="2">
        <f t="shared" si="5"/>
        <v>-2.9509813270701016E-2</v>
      </c>
    </row>
    <row r="111" spans="2:12" ht="56.5" customHeight="1" thickTop="1" x14ac:dyDescent="0.25">
      <c r="B111" s="96" t="s">
        <v>48</v>
      </c>
      <c r="C111" s="96"/>
      <c r="D111" s="96"/>
      <c r="E111" s="96"/>
      <c r="F111" s="96"/>
      <c r="G111" s="72"/>
      <c r="H111" s="96" t="s">
        <v>7</v>
      </c>
      <c r="I111" s="96"/>
      <c r="J111" s="72"/>
      <c r="K111" s="2" t="e">
        <f t="shared" si="4"/>
        <v>#DIV/0!</v>
      </c>
      <c r="L111" s="2" t="e">
        <f t="shared" si="5"/>
        <v>#DIV/0!</v>
      </c>
    </row>
  </sheetData>
  <mergeCells count="7">
    <mergeCell ref="K5:L5"/>
    <mergeCell ref="B5:F5"/>
    <mergeCell ref="B6"/>
    <mergeCell ref="B111:F111"/>
    <mergeCell ref="H4:I4"/>
    <mergeCell ref="H5:H6"/>
    <mergeCell ref="H111:I111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89"/>
  <sheetViews>
    <sheetView topLeftCell="A83" zoomScale="90" zoomScaleNormal="90" workbookViewId="0">
      <selection activeCell="A83" sqref="A83"/>
    </sheetView>
  </sheetViews>
  <sheetFormatPr defaultRowHeight="14.5" x14ac:dyDescent="0.35"/>
  <cols>
    <col min="2" max="2" width="9.1796875" customWidth="1"/>
    <col min="3" max="3" width="9.81640625" customWidth="1"/>
    <col min="4" max="4" width="11.1796875" customWidth="1"/>
    <col min="5" max="5" width="10.453125" bestFit="1" customWidth="1"/>
    <col min="7" max="7" width="13" customWidth="1"/>
  </cols>
  <sheetData>
    <row r="1" spans="1:10" x14ac:dyDescent="0.35">
      <c r="A1" t="s">
        <v>12</v>
      </c>
    </row>
    <row r="3" spans="1:10" x14ac:dyDescent="0.35">
      <c r="B3" t="s">
        <v>13</v>
      </c>
    </row>
    <row r="5" spans="1:10" ht="15.75" customHeight="1" thickBot="1" x14ac:dyDescent="0.4">
      <c r="C5" s="104" t="s">
        <v>22</v>
      </c>
      <c r="D5" s="104"/>
      <c r="E5" s="104"/>
      <c r="F5" s="104"/>
      <c r="G5" s="104"/>
      <c r="H5" s="104"/>
      <c r="I5" s="104"/>
      <c r="J5" s="105"/>
    </row>
    <row r="6" spans="1:10" ht="25.5" customHeight="1" thickTop="1" x14ac:dyDescent="0.35">
      <c r="C6" s="106" t="s">
        <v>14</v>
      </c>
      <c r="D6" s="107"/>
      <c r="E6" s="108" t="s">
        <v>15</v>
      </c>
      <c r="F6" s="109"/>
      <c r="G6" s="110" t="s">
        <v>16</v>
      </c>
      <c r="H6" s="109" t="s">
        <v>17</v>
      </c>
      <c r="I6" s="111" t="s">
        <v>18</v>
      </c>
      <c r="J6" s="105"/>
    </row>
    <row r="7" spans="1:10" ht="15" thickBot="1" x14ac:dyDescent="0.4">
      <c r="C7" s="112"/>
      <c r="D7" s="113"/>
      <c r="E7" s="114" t="s">
        <v>19</v>
      </c>
      <c r="F7" s="115" t="s">
        <v>20</v>
      </c>
      <c r="G7" s="115" t="s">
        <v>21</v>
      </c>
      <c r="H7" s="116"/>
      <c r="I7" s="117"/>
      <c r="J7" s="105"/>
    </row>
    <row r="8" spans="1:10" ht="15" thickTop="1" x14ac:dyDescent="0.35">
      <c r="C8" s="118" t="s">
        <v>5</v>
      </c>
      <c r="D8" s="119" t="s">
        <v>157</v>
      </c>
      <c r="E8" s="120">
        <v>1.31698301122872</v>
      </c>
      <c r="F8" s="121">
        <v>1.182346248497039E-2</v>
      </c>
      <c r="G8" s="122"/>
      <c r="H8" s="123">
        <v>111.38725334501878</v>
      </c>
      <c r="I8" s="124">
        <v>0</v>
      </c>
      <c r="J8" s="105"/>
    </row>
    <row r="9" spans="1:10" ht="35" thickBot="1" x14ac:dyDescent="0.4">
      <c r="C9" s="125"/>
      <c r="D9" s="126" t="s">
        <v>158</v>
      </c>
      <c r="E9" s="127">
        <v>1.2010626294728932</v>
      </c>
      <c r="F9" s="128">
        <v>1.1827886605793122E-2</v>
      </c>
      <c r="G9" s="128">
        <v>0.94094216431969946</v>
      </c>
      <c r="H9" s="129">
        <v>101.54499020007773</v>
      </c>
      <c r="I9" s="130">
        <v>0</v>
      </c>
      <c r="J9" s="105"/>
    </row>
    <row r="10" spans="1:10" ht="15" customHeight="1" thickTop="1" x14ac:dyDescent="0.35">
      <c r="C10" s="131" t="s">
        <v>44</v>
      </c>
      <c r="D10" s="131"/>
      <c r="E10" s="131"/>
      <c r="F10" s="131"/>
      <c r="G10" s="131"/>
      <c r="H10" s="131"/>
      <c r="I10" s="131"/>
      <c r="J10" s="105"/>
    </row>
    <row r="12" spans="1:10" x14ac:dyDescent="0.35">
      <c r="D12" t="s">
        <v>160</v>
      </c>
    </row>
    <row r="14" spans="1:10" x14ac:dyDescent="0.35">
      <c r="B14" t="s">
        <v>11</v>
      </c>
    </row>
    <row r="16" spans="1:10" ht="15.75" customHeight="1" thickBot="1" x14ac:dyDescent="0.4">
      <c r="C16" s="104" t="s">
        <v>22</v>
      </c>
      <c r="D16" s="104"/>
      <c r="E16" s="104"/>
      <c r="F16" s="104"/>
      <c r="G16" s="104"/>
      <c r="H16" s="104"/>
      <c r="I16" s="104"/>
      <c r="J16" s="105"/>
    </row>
    <row r="17" spans="2:10" ht="25.5" customHeight="1" thickTop="1" x14ac:dyDescent="0.35">
      <c r="C17" s="106" t="s">
        <v>14</v>
      </c>
      <c r="D17" s="107"/>
      <c r="E17" s="108" t="s">
        <v>15</v>
      </c>
      <c r="F17" s="109"/>
      <c r="G17" s="110" t="s">
        <v>16</v>
      </c>
      <c r="H17" s="109" t="s">
        <v>17</v>
      </c>
      <c r="I17" s="111" t="s">
        <v>18</v>
      </c>
      <c r="J17" s="105"/>
    </row>
    <row r="18" spans="2:10" ht="15" thickBot="1" x14ac:dyDescent="0.4">
      <c r="C18" s="112"/>
      <c r="D18" s="113"/>
      <c r="E18" s="114" t="s">
        <v>19</v>
      </c>
      <c r="F18" s="115" t="s">
        <v>20</v>
      </c>
      <c r="G18" s="115" t="s">
        <v>21</v>
      </c>
      <c r="H18" s="116"/>
      <c r="I18" s="117"/>
      <c r="J18" s="105"/>
    </row>
    <row r="19" spans="2:10" ht="15" thickTop="1" x14ac:dyDescent="0.35">
      <c r="C19" s="118" t="s">
        <v>5</v>
      </c>
      <c r="D19" s="119" t="s">
        <v>157</v>
      </c>
      <c r="E19" s="132">
        <v>-0.35322091996244692</v>
      </c>
      <c r="F19" s="121">
        <v>3.5520329618485653E-3</v>
      </c>
      <c r="G19" s="122"/>
      <c r="H19" s="123">
        <v>-99.441903765054604</v>
      </c>
      <c r="I19" s="124">
        <v>0</v>
      </c>
      <c r="J19" s="105"/>
    </row>
    <row r="20" spans="2:10" ht="35" thickBot="1" x14ac:dyDescent="0.4">
      <c r="C20" s="125"/>
      <c r="D20" s="126" t="s">
        <v>159</v>
      </c>
      <c r="E20" s="133">
        <v>0.42255805141682989</v>
      </c>
      <c r="F20" s="128">
        <v>3.5523892875716713E-3</v>
      </c>
      <c r="G20" s="128">
        <v>0.85997030880362546</v>
      </c>
      <c r="H20" s="129">
        <v>118.95037880425558</v>
      </c>
      <c r="I20" s="130">
        <v>0</v>
      </c>
      <c r="J20" s="105"/>
    </row>
    <row r="21" spans="2:10" ht="15" customHeight="1" thickTop="1" x14ac:dyDescent="0.35">
      <c r="C21" s="131" t="s">
        <v>44</v>
      </c>
      <c r="D21" s="131"/>
      <c r="E21" s="131"/>
      <c r="F21" s="131"/>
      <c r="G21" s="131"/>
      <c r="H21" s="131"/>
      <c r="I21" s="131"/>
      <c r="J21" s="105"/>
    </row>
    <row r="23" spans="2:10" x14ac:dyDescent="0.35">
      <c r="D23" t="s">
        <v>161</v>
      </c>
    </row>
    <row r="26" spans="2:10" x14ac:dyDescent="0.35">
      <c r="B26" t="s">
        <v>23</v>
      </c>
    </row>
    <row r="28" spans="2:10" x14ac:dyDescent="0.35">
      <c r="C28" s="104" t="s">
        <v>24</v>
      </c>
      <c r="D28" s="104"/>
      <c r="E28" s="104"/>
      <c r="F28" s="105"/>
    </row>
    <row r="29" spans="2:10" ht="15" thickBot="1" x14ac:dyDescent="0.4">
      <c r="C29" s="134" t="s">
        <v>45</v>
      </c>
      <c r="D29" s="135"/>
      <c r="E29" s="135"/>
      <c r="F29" s="65535"/>
    </row>
    <row r="30" spans="2:10" ht="15" thickTop="1" x14ac:dyDescent="0.35">
      <c r="C30" s="136" t="s">
        <v>25</v>
      </c>
      <c r="D30" s="119" t="s">
        <v>26</v>
      </c>
      <c r="E30" s="137">
        <v>6321.9996990000145</v>
      </c>
      <c r="F30" s="65535"/>
    </row>
    <row r="31" spans="2:10" x14ac:dyDescent="0.35">
      <c r="C31" s="138"/>
      <c r="D31" s="139" t="s">
        <v>27</v>
      </c>
      <c r="E31" s="140">
        <v>0</v>
      </c>
      <c r="F31" s="65535"/>
    </row>
    <row r="32" spans="2:10" x14ac:dyDescent="0.35">
      <c r="C32" s="138" t="s">
        <v>1</v>
      </c>
      <c r="D32" s="141"/>
      <c r="E32" s="142">
        <v>5.7721348149287359E-2</v>
      </c>
      <c r="F32" s="65535"/>
    </row>
    <row r="33" spans="3:6" ht="14.5" customHeight="1" x14ac:dyDescent="0.35">
      <c r="C33" s="138" t="s">
        <v>46</v>
      </c>
      <c r="D33" s="141"/>
      <c r="E33" s="143">
        <v>1.2722886721794419E-2</v>
      </c>
      <c r="F33" s="65535"/>
    </row>
    <row r="34" spans="3:6" x14ac:dyDescent="0.35">
      <c r="C34" s="138" t="s">
        <v>28</v>
      </c>
      <c r="D34" s="141"/>
      <c r="E34" s="142">
        <v>-0.27877773074180345</v>
      </c>
      <c r="F34" s="65535"/>
    </row>
    <row r="35" spans="3:6" ht="15" customHeight="1" x14ac:dyDescent="0.35">
      <c r="C35" s="138" t="s">
        <v>29</v>
      </c>
      <c r="D35" s="141"/>
      <c r="E35" s="144" t="s">
        <v>163</v>
      </c>
      <c r="F35" s="65535"/>
    </row>
    <row r="36" spans="3:6" ht="14.5" customHeight="1" x14ac:dyDescent="0.35">
      <c r="C36" s="138" t="s">
        <v>30</v>
      </c>
      <c r="D36" s="141"/>
      <c r="E36" s="145">
        <v>1.0116094923806915</v>
      </c>
      <c r="F36" s="65535"/>
    </row>
    <row r="37" spans="3:6" ht="15" customHeight="1" x14ac:dyDescent="0.35">
      <c r="C37" s="138" t="s">
        <v>31</v>
      </c>
      <c r="D37" s="141"/>
      <c r="E37" s="146">
        <v>1.5197030875971478</v>
      </c>
      <c r="F37" s="65535"/>
    </row>
    <row r="38" spans="3:6" ht="14.5" customHeight="1" x14ac:dyDescent="0.35">
      <c r="C38" s="138" t="s">
        <v>32</v>
      </c>
      <c r="D38" s="141"/>
      <c r="E38" s="147">
        <v>3.0799621643956356E-2</v>
      </c>
      <c r="F38" s="65535"/>
    </row>
    <row r="39" spans="3:6" ht="15" customHeight="1" x14ac:dyDescent="0.35">
      <c r="C39" s="138" t="s">
        <v>33</v>
      </c>
      <c r="D39" s="141"/>
      <c r="E39" s="146">
        <v>1.5531313700045724</v>
      </c>
      <c r="F39" s="65535"/>
    </row>
    <row r="40" spans="3:6" ht="14.5" customHeight="1" x14ac:dyDescent="0.35">
      <c r="C40" s="138" t="s">
        <v>34</v>
      </c>
      <c r="D40" s="141"/>
      <c r="E40" s="147">
        <v>6.1589512749623508E-2</v>
      </c>
      <c r="F40" s="65535"/>
    </row>
    <row r="41" spans="3:6" x14ac:dyDescent="0.35">
      <c r="C41" s="138" t="s">
        <v>35</v>
      </c>
      <c r="D41" s="141"/>
      <c r="E41" s="148">
        <v>-2.1963370470373293</v>
      </c>
      <c r="F41" s="65535"/>
    </row>
    <row r="42" spans="3:6" x14ac:dyDescent="0.35">
      <c r="C42" s="138" t="s">
        <v>36</v>
      </c>
      <c r="D42" s="141"/>
      <c r="E42" s="148">
        <v>3.7760227570300433</v>
      </c>
      <c r="F42" s="65535"/>
    </row>
    <row r="43" spans="3:6" x14ac:dyDescent="0.35">
      <c r="C43" s="138" t="s">
        <v>37</v>
      </c>
      <c r="D43" s="149" t="s">
        <v>38</v>
      </c>
      <c r="E43" s="142">
        <v>-0.65764256646261676</v>
      </c>
      <c r="F43" s="65535"/>
    </row>
    <row r="44" spans="3:6" x14ac:dyDescent="0.35">
      <c r="C44" s="138"/>
      <c r="D44" s="149" t="s">
        <v>39</v>
      </c>
      <c r="E44" s="142">
        <v>-0.40687256545490086</v>
      </c>
      <c r="F44" s="65535"/>
    </row>
    <row r="45" spans="3:6" x14ac:dyDescent="0.35">
      <c r="C45" s="138"/>
      <c r="D45" s="149" t="s">
        <v>40</v>
      </c>
      <c r="E45" s="142">
        <v>-0.13177407264451046</v>
      </c>
      <c r="F45" s="65535"/>
    </row>
    <row r="46" spans="3:6" ht="15" thickBot="1" x14ac:dyDescent="0.4">
      <c r="C46" s="125"/>
      <c r="D46" s="150" t="s">
        <v>41</v>
      </c>
      <c r="E46" s="151">
        <v>0.52480111728261747</v>
      </c>
      <c r="F46" s="105"/>
    </row>
    <row r="47" spans="3:6" ht="15" thickTop="1" x14ac:dyDescent="0.35">
      <c r="C47" s="131" t="s">
        <v>162</v>
      </c>
      <c r="D47" s="131"/>
      <c r="E47" s="131"/>
      <c r="F47" s="105"/>
    </row>
    <row r="49" spans="2:2" x14ac:dyDescent="0.35">
      <c r="B49" t="s">
        <v>42</v>
      </c>
    </row>
    <row r="82" spans="1:17" ht="15" thickBot="1" x14ac:dyDescent="0.4"/>
    <row r="83" spans="1:17" ht="47.5" thickTop="1" x14ac:dyDescent="0.35">
      <c r="A83" s="163" t="s">
        <v>47</v>
      </c>
      <c r="B83" s="164" t="s">
        <v>164</v>
      </c>
      <c r="C83" s="110"/>
      <c r="D83" s="110"/>
      <c r="E83" s="110"/>
      <c r="F83" s="110"/>
      <c r="G83" s="110" t="s">
        <v>165</v>
      </c>
      <c r="H83" s="110"/>
      <c r="I83" s="110"/>
      <c r="J83" s="110"/>
      <c r="K83" s="110"/>
      <c r="L83" s="110" t="s">
        <v>166</v>
      </c>
      <c r="M83" s="110"/>
      <c r="N83" s="110"/>
      <c r="O83" s="110"/>
      <c r="P83" s="165"/>
      <c r="Q83" s="105"/>
    </row>
    <row r="84" spans="1:17" ht="15" thickBot="1" x14ac:dyDescent="0.4">
      <c r="A84" s="166"/>
      <c r="B84" s="114" t="s">
        <v>167</v>
      </c>
      <c r="C84" s="115" t="s">
        <v>168</v>
      </c>
      <c r="D84" s="115" t="s">
        <v>169</v>
      </c>
      <c r="E84" s="115" t="s">
        <v>170</v>
      </c>
      <c r="F84" s="115" t="s">
        <v>171</v>
      </c>
      <c r="G84" s="115" t="s">
        <v>167</v>
      </c>
      <c r="H84" s="115" t="s">
        <v>168</v>
      </c>
      <c r="I84" s="115" t="s">
        <v>169</v>
      </c>
      <c r="J84" s="115" t="s">
        <v>170</v>
      </c>
      <c r="K84" s="115" t="s">
        <v>171</v>
      </c>
      <c r="L84" s="115" t="s">
        <v>167</v>
      </c>
      <c r="M84" s="115" t="s">
        <v>168</v>
      </c>
      <c r="N84" s="115" t="s">
        <v>169</v>
      </c>
      <c r="O84" s="115" t="s">
        <v>170</v>
      </c>
      <c r="P84" s="152" t="s">
        <v>171</v>
      </c>
      <c r="Q84" s="105"/>
    </row>
    <row r="85" spans="1:17" ht="81" thickTop="1" x14ac:dyDescent="0.35">
      <c r="A85" s="153" t="s">
        <v>51</v>
      </c>
      <c r="B85" s="120">
        <v>0</v>
      </c>
      <c r="C85" s="121">
        <v>9.4717088135417606E-4</v>
      </c>
      <c r="D85" s="123">
        <v>0</v>
      </c>
      <c r="E85" s="121">
        <v>4.8227621753975007E-3</v>
      </c>
      <c r="F85" s="121">
        <v>0.10940058975344742</v>
      </c>
      <c r="G85" s="121">
        <v>2.2045896586687888E-2</v>
      </c>
      <c r="H85" s="121">
        <v>4.0432588810232213E-2</v>
      </c>
      <c r="I85" s="121">
        <v>6.6873377429203532E-2</v>
      </c>
      <c r="J85" s="121">
        <v>0.15456033453936535</v>
      </c>
      <c r="K85" s="121">
        <v>0.21648703926666207</v>
      </c>
      <c r="L85" s="123">
        <v>0</v>
      </c>
      <c r="M85" s="123">
        <v>0</v>
      </c>
      <c r="N85" s="123">
        <v>0</v>
      </c>
      <c r="O85" s="123">
        <v>0</v>
      </c>
      <c r="P85" s="154">
        <v>1.3141543155180346E-2</v>
      </c>
      <c r="Q85" s="105"/>
    </row>
    <row r="86" spans="1:17" ht="92" x14ac:dyDescent="0.35">
      <c r="A86" s="155" t="s">
        <v>52</v>
      </c>
      <c r="B86" s="156">
        <v>0</v>
      </c>
      <c r="C86" s="157">
        <v>0</v>
      </c>
      <c r="D86" s="158">
        <v>2.4577203981332374E-3</v>
      </c>
      <c r="E86" s="158">
        <v>1.3616706761453651E-2</v>
      </c>
      <c r="F86" s="158">
        <v>0.41182296485002806</v>
      </c>
      <c r="G86" s="158">
        <v>4.845497166628765E-2</v>
      </c>
      <c r="H86" s="158">
        <v>0.18070994968104409</v>
      </c>
      <c r="I86" s="158">
        <v>0.38894335614346992</v>
      </c>
      <c r="J86" s="158">
        <v>0.64528796936618116</v>
      </c>
      <c r="K86" s="158">
        <v>0.68754435042181472</v>
      </c>
      <c r="L86" s="157">
        <v>0</v>
      </c>
      <c r="M86" s="157">
        <v>0</v>
      </c>
      <c r="N86" s="157">
        <v>0</v>
      </c>
      <c r="O86" s="158">
        <v>1.7909122332839561E-3</v>
      </c>
      <c r="P86" s="159">
        <v>1.8997102988485299E-2</v>
      </c>
      <c r="Q86" s="105"/>
    </row>
    <row r="87" spans="1:17" ht="80.5" x14ac:dyDescent="0.35">
      <c r="A87" s="155" t="s">
        <v>53</v>
      </c>
      <c r="B87" s="156">
        <v>0</v>
      </c>
      <c r="C87" s="158">
        <v>7.8921305355462187E-4</v>
      </c>
      <c r="D87" s="158">
        <v>5.122612503445106E-4</v>
      </c>
      <c r="E87" s="158">
        <v>1.5334085451669918E-3</v>
      </c>
      <c r="F87" s="158">
        <v>4.0200535106341972E-3</v>
      </c>
      <c r="G87" s="158">
        <v>2.5826760940901292E-3</v>
      </c>
      <c r="H87" s="158">
        <v>1.0011064350190852E-2</v>
      </c>
      <c r="I87" s="158">
        <v>7.7630236394661128E-3</v>
      </c>
      <c r="J87" s="157">
        <v>0</v>
      </c>
      <c r="K87" s="157">
        <v>0</v>
      </c>
      <c r="L87" s="157">
        <v>0</v>
      </c>
      <c r="M87" s="158">
        <v>9.5739698252876582E-4</v>
      </c>
      <c r="N87" s="157">
        <v>0</v>
      </c>
      <c r="O87" s="157">
        <v>0</v>
      </c>
      <c r="P87" s="159">
        <v>3.0804837022335636E-3</v>
      </c>
      <c r="Q87" s="105"/>
    </row>
    <row r="88" spans="1:17" ht="92" x14ac:dyDescent="0.35">
      <c r="A88" s="155" t="s">
        <v>54</v>
      </c>
      <c r="B88" s="160">
        <v>0.12730683240778876</v>
      </c>
      <c r="C88" s="158">
        <v>0.15439422405725037</v>
      </c>
      <c r="D88" s="158">
        <v>0.18072579429408669</v>
      </c>
      <c r="E88" s="158">
        <v>0.19650182719317633</v>
      </c>
      <c r="F88" s="158">
        <v>0.25710933933658608</v>
      </c>
      <c r="G88" s="158">
        <v>0.24953891722711388</v>
      </c>
      <c r="H88" s="158">
        <v>0.4872934296023097</v>
      </c>
      <c r="I88" s="158">
        <v>0.41193074995061835</v>
      </c>
      <c r="J88" s="158">
        <v>0.15029633093277148</v>
      </c>
      <c r="K88" s="158">
        <v>3.0951657361503612E-2</v>
      </c>
      <c r="L88" s="158">
        <v>0.12573664949198718</v>
      </c>
      <c r="M88" s="158">
        <v>0.15664890855433633</v>
      </c>
      <c r="N88" s="158">
        <v>0.16276792443405927</v>
      </c>
      <c r="O88" s="158">
        <v>0.15978383171361832</v>
      </c>
      <c r="P88" s="159">
        <v>0.22761781769116338</v>
      </c>
      <c r="Q88" s="105"/>
    </row>
    <row r="89" spans="1:17" ht="80.5" x14ac:dyDescent="0.35">
      <c r="A89" s="155" t="s">
        <v>55</v>
      </c>
      <c r="B89" s="160">
        <v>0.53487605933514604</v>
      </c>
      <c r="C89" s="158">
        <v>0.49308108660890632</v>
      </c>
      <c r="D89" s="158">
        <v>0.46000930222798236</v>
      </c>
      <c r="E89" s="158">
        <v>0.46524040707131514</v>
      </c>
      <c r="F89" s="158">
        <v>0.11624941873662462</v>
      </c>
      <c r="G89" s="158">
        <v>0.29614807292174344</v>
      </c>
      <c r="H89" s="158">
        <v>0.10501338318759235</v>
      </c>
      <c r="I89" s="158">
        <v>5.8320374993491297E-2</v>
      </c>
      <c r="J89" s="158">
        <v>1.7899833349932549E-2</v>
      </c>
      <c r="K89" s="158">
        <v>7.5787316296637456E-3</v>
      </c>
      <c r="L89" s="158">
        <v>0.55211089369448363</v>
      </c>
      <c r="M89" s="158">
        <v>0.4769035978354873</v>
      </c>
      <c r="N89" s="158">
        <v>0.48297668823993217</v>
      </c>
      <c r="O89" s="158">
        <v>0.5021047461884367</v>
      </c>
      <c r="P89" s="159">
        <v>0.46237332896353839</v>
      </c>
      <c r="Q89" s="105"/>
    </row>
    <row r="90" spans="1:17" ht="80.5" x14ac:dyDescent="0.35">
      <c r="A90" s="155" t="s">
        <v>56</v>
      </c>
      <c r="B90" s="160">
        <v>0.11104658513462914</v>
      </c>
      <c r="C90" s="158">
        <v>0.10964998053423292</v>
      </c>
      <c r="D90" s="158">
        <v>0.10405017540966369</v>
      </c>
      <c r="E90" s="158">
        <v>9.6554116779622751E-2</v>
      </c>
      <c r="F90" s="158">
        <v>3.479571830991255E-2</v>
      </c>
      <c r="G90" s="158">
        <v>0.15652057815393616</v>
      </c>
      <c r="H90" s="158">
        <v>8.1878607284102803E-2</v>
      </c>
      <c r="I90" s="158">
        <v>3.080786721530283E-2</v>
      </c>
      <c r="J90" s="158">
        <v>4.4195771133191293E-3</v>
      </c>
      <c r="K90" s="157">
        <v>0</v>
      </c>
      <c r="L90" s="158">
        <v>0.1090870362099647</v>
      </c>
      <c r="M90" s="158">
        <v>0.11109941128563991</v>
      </c>
      <c r="N90" s="158">
        <v>0.10318026299254582</v>
      </c>
      <c r="O90" s="158">
        <v>0.10462916891860596</v>
      </c>
      <c r="P90" s="159">
        <v>7.4500791215316539E-2</v>
      </c>
      <c r="Q90" s="105"/>
    </row>
    <row r="91" spans="1:17" ht="92" x14ac:dyDescent="0.35">
      <c r="A91" s="155" t="s">
        <v>57</v>
      </c>
      <c r="B91" s="160">
        <v>0.18768151846760098</v>
      </c>
      <c r="C91" s="158">
        <v>0.2026686159605795</v>
      </c>
      <c r="D91" s="158">
        <v>0.22452376871392288</v>
      </c>
      <c r="E91" s="158">
        <v>0.19867501430733736</v>
      </c>
      <c r="F91" s="158">
        <v>2.8379449735269915E-2</v>
      </c>
      <c r="G91" s="158">
        <v>0.20903899405168022</v>
      </c>
      <c r="H91" s="158">
        <v>5.0298312794358958E-2</v>
      </c>
      <c r="I91" s="158">
        <v>8.1760741688824985E-3</v>
      </c>
      <c r="J91" s="157">
        <v>0</v>
      </c>
      <c r="K91" s="157">
        <v>0</v>
      </c>
      <c r="L91" s="158">
        <v>0.17340805543774374</v>
      </c>
      <c r="M91" s="158">
        <v>0.21589110451390853</v>
      </c>
      <c r="N91" s="158">
        <v>0.217685852326861</v>
      </c>
      <c r="O91" s="158">
        <v>0.20600492645760693</v>
      </c>
      <c r="P91" s="159">
        <v>0.17253582897302805</v>
      </c>
      <c r="Q91" s="105"/>
    </row>
    <row r="92" spans="1:17" ht="69" x14ac:dyDescent="0.35">
      <c r="A92" s="155" t="s">
        <v>58</v>
      </c>
      <c r="B92" s="160">
        <v>6.92950997500664E-4</v>
      </c>
      <c r="C92" s="158">
        <v>3.11913862065897E-3</v>
      </c>
      <c r="D92" s="158">
        <v>2.4176465487389682E-3</v>
      </c>
      <c r="E92" s="158">
        <v>6.2747052512558395E-4</v>
      </c>
      <c r="F92" s="158">
        <v>3.4374129429495678E-3</v>
      </c>
      <c r="G92" s="157">
        <v>0</v>
      </c>
      <c r="H92" s="158">
        <v>1.5218960975868204E-2</v>
      </c>
      <c r="I92" s="157">
        <v>0</v>
      </c>
      <c r="J92" s="157">
        <v>0</v>
      </c>
      <c r="K92" s="157">
        <v>0</v>
      </c>
      <c r="L92" s="158">
        <v>8.3772210694975022E-4</v>
      </c>
      <c r="M92" s="158">
        <v>3.7838374442208281E-3</v>
      </c>
      <c r="N92" s="158">
        <v>2.926379845013908E-3</v>
      </c>
      <c r="O92" s="157">
        <v>0</v>
      </c>
      <c r="P92" s="159">
        <v>1.9046147932009346E-3</v>
      </c>
      <c r="Q92" s="105"/>
    </row>
    <row r="93" spans="1:17" ht="80.5" x14ac:dyDescent="0.35">
      <c r="A93" s="155" t="s">
        <v>59</v>
      </c>
      <c r="B93" s="160">
        <v>1.414870495747346E-2</v>
      </c>
      <c r="C93" s="158">
        <v>2.6377088165310047E-2</v>
      </c>
      <c r="D93" s="158">
        <v>1.5926608390238173E-2</v>
      </c>
      <c r="E93" s="158">
        <v>1.8959587900557965E-2</v>
      </c>
      <c r="F93" s="158">
        <v>1.4583606421881279E-3</v>
      </c>
      <c r="G93" s="158">
        <v>1.0031807739584354E-2</v>
      </c>
      <c r="H93" s="158">
        <v>2.7151012403013289E-3</v>
      </c>
      <c r="I93" s="157">
        <v>0</v>
      </c>
      <c r="J93" s="157">
        <v>0</v>
      </c>
      <c r="K93" s="157">
        <v>0</v>
      </c>
      <c r="L93" s="158">
        <v>1.176117518503202E-2</v>
      </c>
      <c r="M93" s="158">
        <v>2.3940523137582964E-2</v>
      </c>
      <c r="N93" s="158">
        <v>2.4093555013542677E-2</v>
      </c>
      <c r="O93" s="158">
        <v>1.8810574678744325E-2</v>
      </c>
      <c r="P93" s="159">
        <v>1.3959046680763917E-2</v>
      </c>
      <c r="Q93" s="105"/>
    </row>
    <row r="94" spans="1:17" ht="103.5" x14ac:dyDescent="0.35">
      <c r="A94" s="155" t="s">
        <v>60</v>
      </c>
      <c r="B94" s="160">
        <v>3.0129813496417848E-3</v>
      </c>
      <c r="C94" s="157">
        <v>0</v>
      </c>
      <c r="D94" s="157">
        <v>0</v>
      </c>
      <c r="E94" s="157">
        <v>0</v>
      </c>
      <c r="F94" s="158">
        <v>6.7070670521057899E-3</v>
      </c>
      <c r="G94" s="157">
        <v>0</v>
      </c>
      <c r="H94" s="158">
        <v>8.9036021100474885E-3</v>
      </c>
      <c r="I94" s="158">
        <v>4.9779231846707496E-3</v>
      </c>
      <c r="J94" s="158">
        <v>1.4488497152943532E-2</v>
      </c>
      <c r="K94" s="158">
        <v>4.0841093146917126E-3</v>
      </c>
      <c r="L94" s="158">
        <v>3.6424524872984221E-3</v>
      </c>
      <c r="M94" s="157">
        <v>0</v>
      </c>
      <c r="N94" s="157">
        <v>0</v>
      </c>
      <c r="O94" s="157">
        <v>0</v>
      </c>
      <c r="P94" s="161">
        <v>0</v>
      </c>
      <c r="Q94" s="105"/>
    </row>
    <row r="95" spans="1:17" ht="138" x14ac:dyDescent="0.35">
      <c r="A95" s="155" t="s">
        <v>61</v>
      </c>
      <c r="B95" s="160">
        <v>2.081107885129016E-2</v>
      </c>
      <c r="C95" s="158">
        <v>8.375250190307432E-3</v>
      </c>
      <c r="D95" s="158">
        <v>5.2620667135757576E-3</v>
      </c>
      <c r="E95" s="158">
        <v>1.2549410502511679E-3</v>
      </c>
      <c r="F95" s="158">
        <v>1.1167242109536369E-3</v>
      </c>
      <c r="G95" s="157">
        <v>0</v>
      </c>
      <c r="H95" s="157">
        <v>0</v>
      </c>
      <c r="I95" s="157">
        <v>0</v>
      </c>
      <c r="J95" s="157">
        <v>0</v>
      </c>
      <c r="K95" s="158">
        <v>3.7163464397228377E-3</v>
      </c>
      <c r="L95" s="158">
        <v>2.3416015386539903E-2</v>
      </c>
      <c r="M95" s="158">
        <v>1.0775220246294525E-2</v>
      </c>
      <c r="N95" s="158">
        <v>6.3693371480453191E-3</v>
      </c>
      <c r="O95" s="158">
        <v>1.491976901420384E-3</v>
      </c>
      <c r="P95" s="159">
        <v>2.0955730388019797E-3</v>
      </c>
      <c r="Q95" s="105"/>
    </row>
    <row r="96" spans="1:17" ht="69" x14ac:dyDescent="0.35">
      <c r="A96" s="155" t="s">
        <v>62</v>
      </c>
      <c r="B96" s="156">
        <v>0</v>
      </c>
      <c r="C96" s="157">
        <v>0</v>
      </c>
      <c r="D96" s="157">
        <v>0</v>
      </c>
      <c r="E96" s="157">
        <v>0</v>
      </c>
      <c r="F96" s="158">
        <v>1.0260710013191142E-2</v>
      </c>
      <c r="G96" s="157">
        <v>0</v>
      </c>
      <c r="H96" s="157">
        <v>0</v>
      </c>
      <c r="I96" s="158">
        <v>1.4383282212669908E-2</v>
      </c>
      <c r="J96" s="158">
        <v>4.5074270056685026E-3</v>
      </c>
      <c r="K96" s="158">
        <v>2.1114933004080877E-2</v>
      </c>
      <c r="L96" s="157">
        <v>0</v>
      </c>
      <c r="M96" s="157">
        <v>0</v>
      </c>
      <c r="N96" s="157">
        <v>0</v>
      </c>
      <c r="O96" s="157">
        <v>0</v>
      </c>
      <c r="P96" s="159">
        <v>3.0425218432740242E-3</v>
      </c>
      <c r="Q96" s="105"/>
    </row>
    <row r="97" spans="1:17" ht="57.5" x14ac:dyDescent="0.35">
      <c r="A97" s="155" t="s">
        <v>63</v>
      </c>
      <c r="B97" s="160">
        <v>4.2328849892901888E-4</v>
      </c>
      <c r="C97" s="158">
        <v>5.9823192784519571E-4</v>
      </c>
      <c r="D97" s="158">
        <v>4.1146560533139144E-3</v>
      </c>
      <c r="E97" s="158">
        <v>2.2137576905956178E-3</v>
      </c>
      <c r="F97" s="158">
        <v>1.5242190906109024E-2</v>
      </c>
      <c r="G97" s="158">
        <v>5.6380855588767254E-3</v>
      </c>
      <c r="H97" s="158">
        <v>1.752499996395215E-2</v>
      </c>
      <c r="I97" s="158">
        <v>7.8239710622248805E-3</v>
      </c>
      <c r="J97" s="158">
        <v>8.5400305398182705E-3</v>
      </c>
      <c r="K97" s="158">
        <v>2.8522832561860483E-2</v>
      </c>
      <c r="L97" s="157">
        <v>0</v>
      </c>
      <c r="M97" s="157">
        <v>0</v>
      </c>
      <c r="N97" s="157">
        <v>0</v>
      </c>
      <c r="O97" s="158">
        <v>5.3838629082833683E-3</v>
      </c>
      <c r="P97" s="159">
        <v>6.751346955013577E-3</v>
      </c>
      <c r="Q97" s="105"/>
    </row>
    <row r="98" spans="1:17" ht="103.5" x14ac:dyDescent="0.35">
      <c r="A98" s="155" t="s">
        <v>64</v>
      </c>
      <c r="B98" s="156">
        <v>0</v>
      </c>
      <c r="C98" s="157">
        <v>0</v>
      </c>
      <c r="D98" s="157">
        <v>0</v>
      </c>
      <c r="E98" s="157">
        <v>0</v>
      </c>
      <c r="F98" s="158">
        <v>1.1552791841549953E-2</v>
      </c>
      <c r="G98" s="157">
        <v>0</v>
      </c>
      <c r="H98" s="157">
        <v>0</v>
      </c>
      <c r="I98" s="158">
        <v>3.5472367860354933E-3</v>
      </c>
      <c r="J98" s="157">
        <v>0</v>
      </c>
      <c r="K98" s="158">
        <v>4.4681223311509026E-2</v>
      </c>
      <c r="L98" s="157">
        <v>0</v>
      </c>
      <c r="M98" s="157">
        <v>0</v>
      </c>
      <c r="N98" s="157">
        <v>0</v>
      </c>
      <c r="O98" s="157">
        <v>0</v>
      </c>
      <c r="P98" s="159">
        <v>1.6740439657538264E-3</v>
      </c>
      <c r="Q98" s="105"/>
    </row>
    <row r="99" spans="1:17" ht="103.5" x14ac:dyDescent="0.35">
      <c r="A99" s="155" t="s">
        <v>65</v>
      </c>
      <c r="B99" s="156">
        <v>0</v>
      </c>
      <c r="C99" s="157">
        <v>0</v>
      </c>
      <c r="D99" s="158">
        <v>9.0913827618881724E-4</v>
      </c>
      <c r="E99" s="158">
        <v>1.0185303471032701E-3</v>
      </c>
      <c r="F99" s="158">
        <v>6.3079903001318091E-2</v>
      </c>
      <c r="G99" s="157">
        <v>0</v>
      </c>
      <c r="H99" s="158">
        <v>5.1313420252391342E-3</v>
      </c>
      <c r="I99" s="158">
        <v>1.3192773990439511E-2</v>
      </c>
      <c r="J99" s="158">
        <v>4.6503033613882139E-2</v>
      </c>
      <c r="K99" s="158">
        <v>0.22041510169137127</v>
      </c>
      <c r="L99" s="157">
        <v>0</v>
      </c>
      <c r="M99" s="157">
        <v>0</v>
      </c>
      <c r="N99" s="157">
        <v>0</v>
      </c>
      <c r="O99" s="158">
        <v>1.1895710796365399E-3</v>
      </c>
      <c r="P99" s="159">
        <v>2.2500628231162585E-3</v>
      </c>
      <c r="Q99" s="105"/>
    </row>
    <row r="100" spans="1:17" ht="126.5" x14ac:dyDescent="0.35">
      <c r="A100" s="155" t="s">
        <v>66</v>
      </c>
      <c r="B100" s="156">
        <v>0</v>
      </c>
      <c r="C100" s="157">
        <v>0</v>
      </c>
      <c r="D100" s="157">
        <v>0</v>
      </c>
      <c r="E100" s="157">
        <v>0</v>
      </c>
      <c r="F100" s="158">
        <v>5.0674043128925202E-3</v>
      </c>
      <c r="G100" s="157">
        <v>0</v>
      </c>
      <c r="H100" s="157">
        <v>0</v>
      </c>
      <c r="I100" s="157">
        <v>0</v>
      </c>
      <c r="J100" s="157">
        <v>0</v>
      </c>
      <c r="K100" s="158">
        <v>2.2919989614489662E-2</v>
      </c>
      <c r="L100" s="157">
        <v>0</v>
      </c>
      <c r="M100" s="157">
        <v>0</v>
      </c>
      <c r="N100" s="157">
        <v>0</v>
      </c>
      <c r="O100" s="157">
        <v>0</v>
      </c>
      <c r="P100" s="161">
        <v>0</v>
      </c>
      <c r="Q100" s="105"/>
    </row>
    <row r="101" spans="1:17" ht="92" x14ac:dyDescent="0.35">
      <c r="A101" s="155" t="s">
        <v>67</v>
      </c>
      <c r="B101" s="160">
        <v>8.016820111349068E-3</v>
      </c>
      <c r="C101" s="158">
        <v>3.5190347319705356E-2</v>
      </c>
      <c r="D101" s="158">
        <v>3.5853498867349641E-2</v>
      </c>
      <c r="E101" s="158">
        <v>2.211342426171083E-2</v>
      </c>
      <c r="F101" s="158">
        <v>2.2003624814981013E-2</v>
      </c>
      <c r="G101" s="158">
        <v>2.0882567050586463E-2</v>
      </c>
      <c r="H101" s="158">
        <v>2.715101240301328E-3</v>
      </c>
      <c r="I101" s="158">
        <v>3.9491980085588803E-2</v>
      </c>
      <c r="J101" s="158">
        <v>2.3282887706864677E-2</v>
      </c>
      <c r="K101" s="158">
        <v>3.6542540361134426E-2</v>
      </c>
      <c r="L101" s="158">
        <v>6.6428122634970554E-3</v>
      </c>
      <c r="M101" s="158">
        <v>3.4220324878398219E-2</v>
      </c>
      <c r="N101" s="158">
        <v>3.8105062198980785E-2</v>
      </c>
      <c r="O101" s="158">
        <v>2.5780954322849929E-2</v>
      </c>
      <c r="P101" s="159">
        <v>1.5874470431263006E-2</v>
      </c>
      <c r="Q101" s="105"/>
    </row>
    <row r="102" spans="1:17" ht="80.5" x14ac:dyDescent="0.35">
      <c r="A102" s="155" t="s">
        <v>68</v>
      </c>
      <c r="B102" s="160">
        <v>3.4856754887326348E-2</v>
      </c>
      <c r="C102" s="158">
        <v>9.1699939841637435E-2</v>
      </c>
      <c r="D102" s="158">
        <v>0.18647032216250159</v>
      </c>
      <c r="E102" s="158">
        <v>0.27802740220847877</v>
      </c>
      <c r="F102" s="158">
        <v>0.39145615985319859</v>
      </c>
      <c r="G102" s="158">
        <v>0.32650708139748968</v>
      </c>
      <c r="H102" s="158">
        <v>0.51195938501857918</v>
      </c>
      <c r="I102" s="158">
        <v>0.42909850994314747</v>
      </c>
      <c r="J102" s="158">
        <v>0.33816047152441719</v>
      </c>
      <c r="K102" s="158">
        <v>0.2681623977641247</v>
      </c>
      <c r="L102" s="158">
        <v>2.1904370744179572E-2</v>
      </c>
      <c r="M102" s="158">
        <v>8.0728082987318428E-2</v>
      </c>
      <c r="N102" s="158">
        <v>0.13046158735707805</v>
      </c>
      <c r="O102" s="158">
        <v>0.22630599476289556</v>
      </c>
      <c r="P102" s="159">
        <v>0.32784675078697262</v>
      </c>
      <c r="Q102" s="105"/>
    </row>
    <row r="103" spans="1:17" ht="92" x14ac:dyDescent="0.35">
      <c r="A103" s="155" t="s">
        <v>69</v>
      </c>
      <c r="B103" s="160">
        <v>4.1461028416236237E-2</v>
      </c>
      <c r="C103" s="158">
        <v>4.1419221566401196E-2</v>
      </c>
      <c r="D103" s="158">
        <v>3.1756411570890354E-2</v>
      </c>
      <c r="E103" s="158">
        <v>3.8228318930913385E-2</v>
      </c>
      <c r="F103" s="158">
        <v>4.0985196656275792E-3</v>
      </c>
      <c r="G103" s="158">
        <v>3.9782590707137938E-2</v>
      </c>
      <c r="H103" s="158">
        <v>1.47207016951609E-2</v>
      </c>
      <c r="I103" s="158">
        <v>2.4603096499122932E-3</v>
      </c>
      <c r="J103" s="157">
        <v>0</v>
      </c>
      <c r="K103" s="157">
        <v>0</v>
      </c>
      <c r="L103" s="158">
        <v>4.1636837030019948E-2</v>
      </c>
      <c r="M103" s="158">
        <v>3.9301927001924433E-2</v>
      </c>
      <c r="N103" s="158">
        <v>3.5348419677338934E-2</v>
      </c>
      <c r="O103" s="158">
        <v>4.0052869274367409E-2</v>
      </c>
      <c r="P103" s="159">
        <v>2.398026590704776E-2</v>
      </c>
      <c r="Q103" s="105"/>
    </row>
    <row r="104" spans="1:17" ht="92" x14ac:dyDescent="0.35">
      <c r="A104" s="155" t="s">
        <v>70</v>
      </c>
      <c r="B104" s="160">
        <v>1.1259168615206472E-3</v>
      </c>
      <c r="C104" s="158">
        <v>1.4120390291102723E-3</v>
      </c>
      <c r="D104" s="158">
        <v>6.3236784391422984E-4</v>
      </c>
      <c r="E104" s="158">
        <v>3.3267872676607359E-3</v>
      </c>
      <c r="F104" s="157">
        <v>0</v>
      </c>
      <c r="G104" s="157">
        <v>0</v>
      </c>
      <c r="H104" s="157">
        <v>0</v>
      </c>
      <c r="I104" s="157">
        <v>0</v>
      </c>
      <c r="J104" s="157">
        <v>0</v>
      </c>
      <c r="K104" s="157">
        <v>0</v>
      </c>
      <c r="L104" s="158">
        <v>1.361143066227307E-3</v>
      </c>
      <c r="M104" s="158">
        <v>9.814461983768891E-4</v>
      </c>
      <c r="N104" s="158">
        <v>7.6543385302981512E-4</v>
      </c>
      <c r="O104" s="158">
        <v>3.6597397649455301E-3</v>
      </c>
      <c r="P104" s="159">
        <v>1.1432572991977436E-3</v>
      </c>
      <c r="Q104" s="105"/>
    </row>
    <row r="105" spans="1:17" ht="69" x14ac:dyDescent="0.35">
      <c r="A105" s="155" t="s">
        <v>71</v>
      </c>
      <c r="B105" s="160">
        <v>0.72684432496879436</v>
      </c>
      <c r="C105" s="158">
        <v>0.56554897481418798</v>
      </c>
      <c r="D105" s="158">
        <v>0.38243744935200524</v>
      </c>
      <c r="E105" s="158">
        <v>0.26240084631211391</v>
      </c>
      <c r="F105" s="158">
        <v>2.6649769295700992E-2</v>
      </c>
      <c r="G105" s="158">
        <v>0.31803569228749035</v>
      </c>
      <c r="H105" s="158">
        <v>6.2733424809524388E-2</v>
      </c>
      <c r="I105" s="158">
        <v>4.891563508228591E-3</v>
      </c>
      <c r="J105" s="157">
        <v>0</v>
      </c>
      <c r="K105" s="157">
        <v>0</v>
      </c>
      <c r="L105" s="158">
        <v>0.74478321122727209</v>
      </c>
      <c r="M105" s="158">
        <v>0.60534171918757995</v>
      </c>
      <c r="N105" s="158">
        <v>0.46184885627394739</v>
      </c>
      <c r="O105" s="158">
        <v>0.34223155786816573</v>
      </c>
      <c r="P105" s="159">
        <v>0.17869904422107963</v>
      </c>
      <c r="Q105" s="105"/>
    </row>
    <row r="106" spans="1:17" ht="46" x14ac:dyDescent="0.35">
      <c r="A106" s="155" t="s">
        <v>72</v>
      </c>
      <c r="B106" s="160">
        <v>1.1232189776671632E-3</v>
      </c>
      <c r="C106" s="157">
        <v>0</v>
      </c>
      <c r="D106" s="157">
        <v>0</v>
      </c>
      <c r="E106" s="157">
        <v>0</v>
      </c>
      <c r="F106" s="157">
        <v>0</v>
      </c>
      <c r="G106" s="157">
        <v>0</v>
      </c>
      <c r="H106" s="157">
        <v>0</v>
      </c>
      <c r="I106" s="157">
        <v>0</v>
      </c>
      <c r="J106" s="157">
        <v>0</v>
      </c>
      <c r="K106" s="157">
        <v>0</v>
      </c>
      <c r="L106" s="158">
        <v>1.3578815413082276E-3</v>
      </c>
      <c r="M106" s="157">
        <v>0</v>
      </c>
      <c r="N106" s="157">
        <v>0</v>
      </c>
      <c r="O106" s="157">
        <v>0</v>
      </c>
      <c r="P106" s="161">
        <v>0</v>
      </c>
      <c r="Q106" s="105"/>
    </row>
    <row r="107" spans="1:17" ht="126.5" x14ac:dyDescent="0.35">
      <c r="A107" s="155" t="s">
        <v>73</v>
      </c>
      <c r="B107" s="156">
        <v>0</v>
      </c>
      <c r="C107" s="157">
        <v>0</v>
      </c>
      <c r="D107" s="158">
        <v>2.7423069050138125E-3</v>
      </c>
      <c r="E107" s="158">
        <v>4.262694946799428E-3</v>
      </c>
      <c r="F107" s="158">
        <v>1.4891125011834795E-2</v>
      </c>
      <c r="G107" s="157">
        <v>0</v>
      </c>
      <c r="H107" s="158">
        <v>1.9281509926993939E-2</v>
      </c>
      <c r="I107" s="158">
        <v>1.6396995165743944E-2</v>
      </c>
      <c r="J107" s="158">
        <v>2.1847932420766623E-2</v>
      </c>
      <c r="K107" s="158">
        <v>2.2499896844268317E-2</v>
      </c>
      <c r="L107" s="157">
        <v>0</v>
      </c>
      <c r="M107" s="157">
        <v>0</v>
      </c>
      <c r="N107" s="158">
        <v>3.3193568596123846E-3</v>
      </c>
      <c r="O107" s="158">
        <v>1.1895710796365397E-3</v>
      </c>
      <c r="P107" s="159">
        <v>1.2913634937789897E-3</v>
      </c>
      <c r="Q107" s="105"/>
    </row>
    <row r="108" spans="1:17" ht="149.5" x14ac:dyDescent="0.35">
      <c r="A108" s="155" t="s">
        <v>74</v>
      </c>
      <c r="B108" s="156">
        <v>0</v>
      </c>
      <c r="C108" s="158">
        <v>6.2532474616531272E-4</v>
      </c>
      <c r="D108" s="157">
        <v>0</v>
      </c>
      <c r="E108" s="157">
        <v>0</v>
      </c>
      <c r="F108" s="158">
        <v>1.0573365799147936E-3</v>
      </c>
      <c r="G108" s="157">
        <v>0</v>
      </c>
      <c r="H108" s="157">
        <v>0</v>
      </c>
      <c r="I108" s="158">
        <v>5.3965849047982288E-3</v>
      </c>
      <c r="J108" s="157">
        <v>0</v>
      </c>
      <c r="K108" s="157">
        <v>0</v>
      </c>
      <c r="L108" s="157">
        <v>0</v>
      </c>
      <c r="M108" s="158">
        <v>7.5858353125655845E-4</v>
      </c>
      <c r="N108" s="157">
        <v>0</v>
      </c>
      <c r="O108" s="157">
        <v>0</v>
      </c>
      <c r="P108" s="161">
        <v>0</v>
      </c>
      <c r="Q108" s="105"/>
    </row>
    <row r="109" spans="1:17" ht="115" x14ac:dyDescent="0.35">
      <c r="A109" s="155" t="s">
        <v>75</v>
      </c>
      <c r="B109" s="160">
        <v>1.8837690038216968E-2</v>
      </c>
      <c r="C109" s="158">
        <v>4.3248459273084246E-2</v>
      </c>
      <c r="D109" s="158">
        <v>4.3111092077685202E-2</v>
      </c>
      <c r="E109" s="158">
        <v>3.2683491115568307E-2</v>
      </c>
      <c r="F109" s="158">
        <v>2.5183202664348321E-2</v>
      </c>
      <c r="G109" s="158">
        <v>1.3278880960503383E-2</v>
      </c>
      <c r="H109" s="158">
        <v>2.1877297539209403E-2</v>
      </c>
      <c r="I109" s="158">
        <v>1.8497089144115082E-2</v>
      </c>
      <c r="J109" s="158">
        <v>2.7313153547449811E-2</v>
      </c>
      <c r="K109" s="158">
        <v>2.320119816162769E-2</v>
      </c>
      <c r="L109" s="158">
        <v>1.7012630014286368E-2</v>
      </c>
      <c r="M109" s="158">
        <v>4.4125988880955716E-2</v>
      </c>
      <c r="N109" s="158">
        <v>4.4159540989619113E-2</v>
      </c>
      <c r="O109" s="158">
        <v>3.8957343970143714E-2</v>
      </c>
      <c r="P109" s="159">
        <v>3.384128039144272E-2</v>
      </c>
      <c r="Q109" s="105"/>
    </row>
    <row r="110" spans="1:17" ht="103.5" x14ac:dyDescent="0.35">
      <c r="A110" s="155" t="s">
        <v>76</v>
      </c>
      <c r="B110" s="160">
        <v>0.11483594930480769</v>
      </c>
      <c r="C110" s="158">
        <v>0.16712996338135286</v>
      </c>
      <c r="D110" s="158">
        <v>0.25155172701165152</v>
      </c>
      <c r="E110" s="158">
        <v>0.31429234796024674</v>
      </c>
      <c r="F110" s="158">
        <v>0.42256435927464409</v>
      </c>
      <c r="G110" s="158">
        <v>0.26134368028255195</v>
      </c>
      <c r="H110" s="158">
        <v>0.35308872569761912</v>
      </c>
      <c r="I110" s="158">
        <v>0.44948437142484532</v>
      </c>
      <c r="J110" s="158">
        <v>0.54289252118661946</v>
      </c>
      <c r="K110" s="158">
        <v>0.35215719903056381</v>
      </c>
      <c r="L110" s="158">
        <v>0.10611573890360011</v>
      </c>
      <c r="M110" s="158">
        <v>0.1380133296969516</v>
      </c>
      <c r="N110" s="158">
        <v>0.23292816585395196</v>
      </c>
      <c r="O110" s="158">
        <v>0.2584725912519597</v>
      </c>
      <c r="P110" s="159">
        <v>0.37562037547972077</v>
      </c>
      <c r="Q110" s="105"/>
    </row>
    <row r="111" spans="1:17" ht="115" x14ac:dyDescent="0.35">
      <c r="A111" s="155" t="s">
        <v>77</v>
      </c>
      <c r="B111" s="160">
        <v>5.2429534592744638E-2</v>
      </c>
      <c r="C111" s="158">
        <v>5.2327339423535769E-2</v>
      </c>
      <c r="D111" s="158">
        <v>5.695577341269021E-2</v>
      </c>
      <c r="E111" s="158">
        <v>4.0249716551192603E-2</v>
      </c>
      <c r="F111" s="158">
        <v>1.1727094692018864E-2</v>
      </c>
      <c r="G111" s="158">
        <v>1.2556357757453675E-2</v>
      </c>
      <c r="H111" s="158">
        <v>8.4925120473722075E-3</v>
      </c>
      <c r="I111" s="158">
        <v>1.7542585397145517E-2</v>
      </c>
      <c r="J111" s="157">
        <v>0</v>
      </c>
      <c r="K111" s="158">
        <v>9.4204532209110382E-3</v>
      </c>
      <c r="L111" s="158">
        <v>5.861867978843302E-2</v>
      </c>
      <c r="M111" s="158">
        <v>5.5763252720922203E-2</v>
      </c>
      <c r="N111" s="158">
        <v>4.7422740574403051E-2</v>
      </c>
      <c r="O111" s="158">
        <v>5.6348509131766922E-2</v>
      </c>
      <c r="P111" s="159">
        <v>3.5492570602231377E-2</v>
      </c>
      <c r="Q111" s="105"/>
    </row>
    <row r="112" spans="1:17" ht="103.5" x14ac:dyDescent="0.35">
      <c r="A112" s="155" t="s">
        <v>78</v>
      </c>
      <c r="B112" s="156">
        <v>0</v>
      </c>
      <c r="C112" s="158">
        <v>7.674922319918728E-4</v>
      </c>
      <c r="D112" s="158">
        <v>5.7560350769116512E-3</v>
      </c>
      <c r="E112" s="158">
        <v>1.6101728361830889E-3</v>
      </c>
      <c r="F112" s="158">
        <v>6.687089919703964E-4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0</v>
      </c>
      <c r="M112" s="157">
        <v>0</v>
      </c>
      <c r="N112" s="158">
        <v>4.5559452920849947E-3</v>
      </c>
      <c r="O112" s="158">
        <v>4.4871678014879518E-3</v>
      </c>
      <c r="P112" s="159">
        <v>2.2865145983954871E-3</v>
      </c>
      <c r="Q112" s="105"/>
    </row>
    <row r="113" spans="1:17" ht="69" x14ac:dyDescent="0.35">
      <c r="A113" s="155" t="s">
        <v>79</v>
      </c>
      <c r="B113" s="156">
        <v>0</v>
      </c>
      <c r="C113" s="158">
        <v>6.3089837282778391E-4</v>
      </c>
      <c r="D113" s="158">
        <v>1.2090875860711365E-3</v>
      </c>
      <c r="E113" s="158">
        <v>1.341290067096309E-3</v>
      </c>
      <c r="F113" s="157">
        <v>0</v>
      </c>
      <c r="G113" s="158">
        <v>7.6131495567865453E-3</v>
      </c>
      <c r="H113" s="157">
        <v>0</v>
      </c>
      <c r="I113" s="157">
        <v>0</v>
      </c>
      <c r="J113" s="157">
        <v>0</v>
      </c>
      <c r="K113" s="157">
        <v>0</v>
      </c>
      <c r="L113" s="157">
        <v>0</v>
      </c>
      <c r="M113" s="158">
        <v>7.6534491631520464E-4</v>
      </c>
      <c r="N113" s="158">
        <v>1.0848910699539905E-3</v>
      </c>
      <c r="O113" s="157">
        <v>0</v>
      </c>
      <c r="P113" s="161">
        <v>0</v>
      </c>
      <c r="Q113" s="105"/>
    </row>
    <row r="114" spans="1:17" ht="80.5" x14ac:dyDescent="0.35">
      <c r="A114" s="155" t="s">
        <v>80</v>
      </c>
      <c r="B114" s="156">
        <v>0</v>
      </c>
      <c r="C114" s="157">
        <v>0</v>
      </c>
      <c r="D114" s="158">
        <v>2.4599095702907332E-3</v>
      </c>
      <c r="E114" s="158">
        <v>1.3754474504602994E-2</v>
      </c>
      <c r="F114" s="158">
        <v>0.37751640394383534</v>
      </c>
      <c r="G114" s="158">
        <v>7.6048367664100051E-3</v>
      </c>
      <c r="H114" s="158">
        <v>6.3148688433310937E-2</v>
      </c>
      <c r="I114" s="158">
        <v>0.23156945345771354</v>
      </c>
      <c r="J114" s="158">
        <v>0.51890360579660477</v>
      </c>
      <c r="K114" s="158">
        <v>0.77435430518735626</v>
      </c>
      <c r="L114" s="157">
        <v>0</v>
      </c>
      <c r="M114" s="157">
        <v>0</v>
      </c>
      <c r="N114" s="157">
        <v>0</v>
      </c>
      <c r="O114" s="158">
        <v>4.427750071657223E-3</v>
      </c>
      <c r="P114" s="159">
        <v>7.3582668680688482E-2</v>
      </c>
      <c r="Q114" s="105"/>
    </row>
    <row r="115" spans="1:17" ht="57.5" x14ac:dyDescent="0.35">
      <c r="A115" s="155" t="s">
        <v>81</v>
      </c>
      <c r="B115" s="156">
        <v>0</v>
      </c>
      <c r="C115" s="157">
        <v>0</v>
      </c>
      <c r="D115" s="157">
        <v>0</v>
      </c>
      <c r="E115" s="158">
        <v>4.2536404078444208E-4</v>
      </c>
      <c r="F115" s="158">
        <v>1.8009461545243629E-2</v>
      </c>
      <c r="G115" s="157">
        <v>0</v>
      </c>
      <c r="H115" s="157">
        <v>0</v>
      </c>
      <c r="I115" s="158">
        <v>2.2940287558686455E-2</v>
      </c>
      <c r="J115" s="158">
        <v>3.4697943313313005E-3</v>
      </c>
      <c r="K115" s="158">
        <v>3.9980821957356645E-2</v>
      </c>
      <c r="L115" s="157">
        <v>0</v>
      </c>
      <c r="M115" s="157">
        <v>0</v>
      </c>
      <c r="N115" s="157">
        <v>0</v>
      </c>
      <c r="O115" s="157">
        <v>0</v>
      </c>
      <c r="P115" s="159">
        <v>7.2235645433262486E-3</v>
      </c>
      <c r="Q115" s="105"/>
    </row>
    <row r="116" spans="1:17" ht="46" x14ac:dyDescent="0.35">
      <c r="A116" s="155" t="s">
        <v>82</v>
      </c>
      <c r="B116" s="156">
        <v>0</v>
      </c>
      <c r="C116" s="158">
        <v>1.2451734801460185E-3</v>
      </c>
      <c r="D116" s="158">
        <v>4.1130844475450453E-4</v>
      </c>
      <c r="E116" s="157">
        <v>0</v>
      </c>
      <c r="F116" s="158">
        <v>1.142637039060484E-2</v>
      </c>
      <c r="G116" s="157">
        <v>0</v>
      </c>
      <c r="H116" s="158">
        <v>4.5037480043520241E-3</v>
      </c>
      <c r="I116" s="157">
        <v>0</v>
      </c>
      <c r="J116" s="158">
        <v>2.1706236600297052E-2</v>
      </c>
      <c r="K116" s="158">
        <v>1.9429759655753293E-2</v>
      </c>
      <c r="L116" s="157">
        <v>0</v>
      </c>
      <c r="M116" s="158">
        <v>1.5105240939025286E-3</v>
      </c>
      <c r="N116" s="157">
        <v>0</v>
      </c>
      <c r="O116" s="158">
        <v>5.3818065249804168E-4</v>
      </c>
      <c r="P116" s="159">
        <v>2.5905360390760879E-3</v>
      </c>
      <c r="Q116" s="105"/>
    </row>
    <row r="117" spans="1:17" ht="69" x14ac:dyDescent="0.35">
      <c r="A117" s="155" t="s">
        <v>83</v>
      </c>
      <c r="B117" s="156">
        <v>0</v>
      </c>
      <c r="C117" s="157">
        <v>0</v>
      </c>
      <c r="D117" s="158">
        <v>6.8899347942528663E-4</v>
      </c>
      <c r="E117" s="157">
        <v>0</v>
      </c>
      <c r="F117" s="158">
        <v>5.7532335734811531E-3</v>
      </c>
      <c r="G117" s="157">
        <v>0</v>
      </c>
      <c r="H117" s="158">
        <v>1.2084544295387032E-2</v>
      </c>
      <c r="I117" s="158">
        <v>1.1489661969987353E-2</v>
      </c>
      <c r="J117" s="157">
        <v>0</v>
      </c>
      <c r="K117" s="157">
        <v>0</v>
      </c>
      <c r="L117" s="157">
        <v>0</v>
      </c>
      <c r="M117" s="157">
        <v>0</v>
      </c>
      <c r="N117" s="158">
        <v>8.3397493839115029E-4</v>
      </c>
      <c r="O117" s="157">
        <v>0</v>
      </c>
      <c r="P117" s="159">
        <v>2.2015852038477905E-3</v>
      </c>
      <c r="Q117" s="105"/>
    </row>
    <row r="118" spans="1:17" ht="69" x14ac:dyDescent="0.35">
      <c r="A118" s="155" t="s">
        <v>84</v>
      </c>
      <c r="B118" s="160">
        <v>2.2284766615433382E-2</v>
      </c>
      <c r="C118" s="158">
        <v>1.2353572242303533E-2</v>
      </c>
      <c r="D118" s="158">
        <v>1.9510791697421353E-2</v>
      </c>
      <c r="E118" s="158">
        <v>2.248744948024127E-2</v>
      </c>
      <c r="F118" s="158">
        <v>0.16647702635699424</v>
      </c>
      <c r="G118" s="157">
        <v>0</v>
      </c>
      <c r="H118" s="158">
        <v>0.12786677661178494</v>
      </c>
      <c r="I118" s="158">
        <v>0.21902013395566775</v>
      </c>
      <c r="J118" s="158">
        <v>0.2530662586671133</v>
      </c>
      <c r="K118" s="158">
        <v>0.12196045874159522</v>
      </c>
      <c r="L118" s="158">
        <v>2.0301865212923206E-2</v>
      </c>
      <c r="M118" s="158">
        <v>1.5780794157035798E-2</v>
      </c>
      <c r="N118" s="158">
        <v>1.4282847006495443E-2</v>
      </c>
      <c r="O118" s="158">
        <v>2.7477311351007911E-2</v>
      </c>
      <c r="P118" s="159">
        <v>4.7324052400351806E-2</v>
      </c>
      <c r="Q118" s="105"/>
    </row>
    <row r="119" spans="1:17" ht="46" x14ac:dyDescent="0.35">
      <c r="A119" s="155" t="s">
        <v>85</v>
      </c>
      <c r="B119" s="160">
        <v>0.93269212647962785</v>
      </c>
      <c r="C119" s="158">
        <v>0.96702209442257425</v>
      </c>
      <c r="D119" s="158">
        <v>0.96383846808012208</v>
      </c>
      <c r="E119" s="158">
        <v>0.94646316209332537</v>
      </c>
      <c r="F119" s="158">
        <v>0.39850729425015879</v>
      </c>
      <c r="G119" s="158">
        <v>0.98216909848570999</v>
      </c>
      <c r="H119" s="158">
        <v>0.77176476261897198</v>
      </c>
      <c r="I119" s="158">
        <v>0.4546507302777909</v>
      </c>
      <c r="J119" s="158">
        <v>0.17496890164671458</v>
      </c>
      <c r="K119" s="158">
        <v>3.9994743172561534E-2</v>
      </c>
      <c r="L119" s="158">
        <v>0.93262484912943533</v>
      </c>
      <c r="M119" s="158">
        <v>0.95690244146975378</v>
      </c>
      <c r="N119" s="158">
        <v>0.97187531305164576</v>
      </c>
      <c r="O119" s="158">
        <v>0.95604251556339626</v>
      </c>
      <c r="P119" s="159">
        <v>0.85120476150575597</v>
      </c>
      <c r="Q119" s="105"/>
    </row>
    <row r="120" spans="1:17" ht="80.5" x14ac:dyDescent="0.35">
      <c r="A120" s="155" t="s">
        <v>86</v>
      </c>
      <c r="B120" s="160">
        <v>9.1137736088829791E-3</v>
      </c>
      <c r="C120" s="158">
        <v>6.1889915314191739E-3</v>
      </c>
      <c r="D120" s="158">
        <v>1.2537117921576591E-3</v>
      </c>
      <c r="E120" s="158">
        <v>1.8578650511664591E-3</v>
      </c>
      <c r="F120" s="157">
        <v>0</v>
      </c>
      <c r="G120" s="157">
        <v>0</v>
      </c>
      <c r="H120" s="157">
        <v>0</v>
      </c>
      <c r="I120" s="157">
        <v>0</v>
      </c>
      <c r="J120" s="157">
        <v>0</v>
      </c>
      <c r="K120" s="157">
        <v>0</v>
      </c>
      <c r="L120" s="158">
        <v>9.3588526063440036E-3</v>
      </c>
      <c r="M120" s="158">
        <v>6.3754192643538992E-3</v>
      </c>
      <c r="N120" s="158">
        <v>3.721861679230885E-3</v>
      </c>
      <c r="O120" s="158">
        <v>9.8055667958245655E-4</v>
      </c>
      <c r="P120" s="159">
        <v>2.3555303092024139E-3</v>
      </c>
      <c r="Q120" s="105"/>
    </row>
    <row r="121" spans="1:17" ht="57.5" x14ac:dyDescent="0.35">
      <c r="A121" s="155" t="s">
        <v>87</v>
      </c>
      <c r="B121" s="160">
        <v>6.5054690493660146E-3</v>
      </c>
      <c r="C121" s="157">
        <v>0</v>
      </c>
      <c r="D121" s="157">
        <v>0</v>
      </c>
      <c r="E121" s="157">
        <v>0</v>
      </c>
      <c r="F121" s="157">
        <v>0</v>
      </c>
      <c r="G121" s="157">
        <v>0</v>
      </c>
      <c r="H121" s="157">
        <v>0</v>
      </c>
      <c r="I121" s="157">
        <v>0</v>
      </c>
      <c r="J121" s="157">
        <v>0</v>
      </c>
      <c r="K121" s="157">
        <v>0</v>
      </c>
      <c r="L121" s="158">
        <v>7.8645896439828097E-3</v>
      </c>
      <c r="M121" s="157">
        <v>0</v>
      </c>
      <c r="N121" s="157">
        <v>0</v>
      </c>
      <c r="O121" s="157">
        <v>0</v>
      </c>
      <c r="P121" s="161">
        <v>0</v>
      </c>
      <c r="Q121" s="105"/>
    </row>
    <row r="122" spans="1:17" ht="46" x14ac:dyDescent="0.35">
      <c r="A122" s="155" t="s">
        <v>88</v>
      </c>
      <c r="B122" s="160">
        <v>1.7792982446983806E-2</v>
      </c>
      <c r="C122" s="158">
        <v>6.435946558998591E-4</v>
      </c>
      <c r="D122" s="158">
        <v>1.8301881997320893E-3</v>
      </c>
      <c r="E122" s="157">
        <v>0</v>
      </c>
      <c r="F122" s="157">
        <v>0</v>
      </c>
      <c r="G122" s="157">
        <v>0</v>
      </c>
      <c r="H122" s="157">
        <v>0</v>
      </c>
      <c r="I122" s="157">
        <v>0</v>
      </c>
      <c r="J122" s="157">
        <v>0</v>
      </c>
      <c r="K122" s="157">
        <v>0</v>
      </c>
      <c r="L122" s="158">
        <v>1.8345996328467583E-2</v>
      </c>
      <c r="M122" s="158">
        <v>4.292307965904945E-3</v>
      </c>
      <c r="N122" s="158">
        <v>2.2153055677521798E-3</v>
      </c>
      <c r="O122" s="157">
        <v>0</v>
      </c>
      <c r="P122" s="161">
        <v>0</v>
      </c>
      <c r="Q122" s="105"/>
    </row>
    <row r="123" spans="1:17" ht="92" x14ac:dyDescent="0.35">
      <c r="A123" s="155" t="s">
        <v>89</v>
      </c>
      <c r="B123" s="160">
        <v>3.4858554923536539E-3</v>
      </c>
      <c r="C123" s="158">
        <v>8.5541719274069179E-3</v>
      </c>
      <c r="D123" s="158">
        <v>7.524316441608247E-3</v>
      </c>
      <c r="E123" s="158">
        <v>4.9590380629278867E-3</v>
      </c>
      <c r="F123" s="158">
        <v>1.3144424691247672E-2</v>
      </c>
      <c r="G123" s="158">
        <v>1.577039979910543E-3</v>
      </c>
      <c r="H123" s="158">
        <v>1.8334442548190149E-2</v>
      </c>
      <c r="I123" s="158">
        <v>4.1238031769643788E-2</v>
      </c>
      <c r="J123" s="158">
        <v>1.0632629570369791E-2</v>
      </c>
      <c r="K123" s="157">
        <v>0</v>
      </c>
      <c r="L123" s="158">
        <v>3.7737863727364657E-3</v>
      </c>
      <c r="M123" s="158">
        <v>1.0865752532712825E-2</v>
      </c>
      <c r="N123" s="158">
        <v>4.5065542721380242E-3</v>
      </c>
      <c r="O123" s="158">
        <v>6.5377837891850039E-3</v>
      </c>
      <c r="P123" s="159">
        <v>3.0489721770371445E-3</v>
      </c>
      <c r="Q123" s="105"/>
    </row>
    <row r="124" spans="1:17" ht="46" x14ac:dyDescent="0.35">
      <c r="A124" s="155" t="s">
        <v>90</v>
      </c>
      <c r="B124" s="160">
        <v>1.31265036067643E-3</v>
      </c>
      <c r="C124" s="158">
        <v>3.0947390017855794E-4</v>
      </c>
      <c r="D124" s="157">
        <v>0</v>
      </c>
      <c r="E124" s="157">
        <v>0</v>
      </c>
      <c r="F124" s="158">
        <v>8.2165089485680915E-4</v>
      </c>
      <c r="G124" s="158">
        <v>1.6362659673262053E-3</v>
      </c>
      <c r="H124" s="157">
        <v>0</v>
      </c>
      <c r="I124" s="157">
        <v>0</v>
      </c>
      <c r="J124" s="158">
        <v>3.7232792898701083E-3</v>
      </c>
      <c r="K124" s="157">
        <v>0</v>
      </c>
      <c r="L124" s="158">
        <v>1.5868888706421862E-3</v>
      </c>
      <c r="M124" s="157">
        <v>0</v>
      </c>
      <c r="N124" s="157">
        <v>0</v>
      </c>
      <c r="O124" s="157">
        <v>0</v>
      </c>
      <c r="P124" s="161">
        <v>0</v>
      </c>
      <c r="Q124" s="105"/>
    </row>
    <row r="125" spans="1:17" ht="23" x14ac:dyDescent="0.35">
      <c r="A125" s="155" t="s">
        <v>91</v>
      </c>
      <c r="B125" s="160">
        <v>5.3879106357293224E-4</v>
      </c>
      <c r="C125" s="158">
        <v>6.666068689976678E-3</v>
      </c>
      <c r="D125" s="158">
        <v>1.9642637925968296E-2</v>
      </c>
      <c r="E125" s="158">
        <v>7.2761801258540509E-2</v>
      </c>
      <c r="F125" s="158">
        <v>0.66524108001971649</v>
      </c>
      <c r="G125" s="158">
        <v>0.10356738005214602</v>
      </c>
      <c r="H125" s="158">
        <v>0.31440631992961887</v>
      </c>
      <c r="I125" s="158">
        <v>0.64875833031430896</v>
      </c>
      <c r="J125" s="158">
        <v>0.95860865874683288</v>
      </c>
      <c r="K125" s="158">
        <v>0.96873977409490708</v>
      </c>
      <c r="L125" s="157">
        <v>0</v>
      </c>
      <c r="M125" s="158">
        <v>3.8831723434868013E-3</v>
      </c>
      <c r="N125" s="158">
        <v>9.0149021807396836E-3</v>
      </c>
      <c r="O125" s="158">
        <v>2.5519150268779354E-2</v>
      </c>
      <c r="P125" s="159">
        <v>0.15242335815505276</v>
      </c>
      <c r="Q125" s="105"/>
    </row>
    <row r="126" spans="1:17" ht="23" x14ac:dyDescent="0.35">
      <c r="A126" s="155" t="s">
        <v>92</v>
      </c>
      <c r="B126" s="160">
        <v>0.31424018839746121</v>
      </c>
      <c r="C126" s="158">
        <v>0.52742679905506962</v>
      </c>
      <c r="D126" s="158">
        <v>0.66714185603321963</v>
      </c>
      <c r="E126" s="158">
        <v>0.81292549235728917</v>
      </c>
      <c r="F126" s="158">
        <v>0.74380730681046003</v>
      </c>
      <c r="G126" s="158">
        <v>0.6845830566633635</v>
      </c>
      <c r="H126" s="158">
        <v>0.62567944443045864</v>
      </c>
      <c r="I126" s="158">
        <v>0.69265513780582688</v>
      </c>
      <c r="J126" s="158">
        <v>0.72735027264630581</v>
      </c>
      <c r="K126" s="158">
        <v>0.79079869413893233</v>
      </c>
      <c r="L126" s="158">
        <v>0.26588113735494634</v>
      </c>
      <c r="M126" s="158">
        <v>0.51134984285487028</v>
      </c>
      <c r="N126" s="158">
        <v>0.60971032510090517</v>
      </c>
      <c r="O126" s="158">
        <v>0.73168231723309851</v>
      </c>
      <c r="P126" s="159">
        <v>0.85906375186063644</v>
      </c>
      <c r="Q126" s="105"/>
    </row>
    <row r="127" spans="1:17" ht="23" x14ac:dyDescent="0.35">
      <c r="A127" s="155" t="s">
        <v>93</v>
      </c>
      <c r="B127" s="160">
        <v>2.7937871492646981E-3</v>
      </c>
      <c r="C127" s="158">
        <v>3.2057113808537291E-2</v>
      </c>
      <c r="D127" s="158">
        <v>9.834674339588946E-2</v>
      </c>
      <c r="E127" s="158">
        <v>0.31696962716574634</v>
      </c>
      <c r="F127" s="158">
        <v>0.75366406339543857</v>
      </c>
      <c r="G127" s="158">
        <v>0.18380337615203007</v>
      </c>
      <c r="H127" s="158">
        <v>0.36699411823494715</v>
      </c>
      <c r="I127" s="158">
        <v>0.70351414036782545</v>
      </c>
      <c r="J127" s="158">
        <v>0.89004905040249582</v>
      </c>
      <c r="K127" s="158">
        <v>0.97716216920394194</v>
      </c>
      <c r="L127" s="158">
        <v>3.1421893170480359E-4</v>
      </c>
      <c r="M127" s="158">
        <v>1.8915394012259924E-2</v>
      </c>
      <c r="N127" s="158">
        <v>5.2000624904568936E-2</v>
      </c>
      <c r="O127" s="158">
        <v>0.18557070047152061</v>
      </c>
      <c r="P127" s="159">
        <v>0.48873444738805322</v>
      </c>
      <c r="Q127" s="105"/>
    </row>
    <row r="128" spans="1:17" ht="34.5" x14ac:dyDescent="0.35">
      <c r="A128" s="155" t="s">
        <v>94</v>
      </c>
      <c r="B128" s="156">
        <v>0</v>
      </c>
      <c r="C128" s="157">
        <v>0</v>
      </c>
      <c r="D128" s="157">
        <v>0</v>
      </c>
      <c r="E128" s="158">
        <v>2.7558982105275551E-3</v>
      </c>
      <c r="F128" s="158">
        <v>4.4553965379565318E-2</v>
      </c>
      <c r="G128" s="157">
        <v>0</v>
      </c>
      <c r="H128" s="158">
        <v>9.1186108909423347E-3</v>
      </c>
      <c r="I128" s="158">
        <v>3.4512203108679391E-3</v>
      </c>
      <c r="J128" s="158">
        <v>3.3263597722968941E-2</v>
      </c>
      <c r="K128" s="158">
        <v>0.133310225272253</v>
      </c>
      <c r="L128" s="157">
        <v>0</v>
      </c>
      <c r="M128" s="157">
        <v>0</v>
      </c>
      <c r="N128" s="157">
        <v>0</v>
      </c>
      <c r="O128" s="157">
        <v>0</v>
      </c>
      <c r="P128" s="159">
        <v>1.2713585201807362E-2</v>
      </c>
      <c r="Q128" s="105"/>
    </row>
    <row r="129" spans="1:17" ht="23" x14ac:dyDescent="0.35">
      <c r="A129" s="155" t="s">
        <v>95</v>
      </c>
      <c r="B129" s="156">
        <v>0</v>
      </c>
      <c r="C129" s="158">
        <v>7.0692244847540668E-4</v>
      </c>
      <c r="D129" s="158">
        <v>1.3676024457723323E-3</v>
      </c>
      <c r="E129" s="158">
        <v>4.8573296075459904E-4</v>
      </c>
      <c r="F129" s="158">
        <v>0.22324740277933253</v>
      </c>
      <c r="G129" s="157">
        <v>0</v>
      </c>
      <c r="H129" s="158">
        <v>3.2793560498806162E-2</v>
      </c>
      <c r="I129" s="158">
        <v>4.2856765999022238E-2</v>
      </c>
      <c r="J129" s="158">
        <v>0.17396741476935901</v>
      </c>
      <c r="K129" s="158">
        <v>0.66414037864582831</v>
      </c>
      <c r="L129" s="157">
        <v>0</v>
      </c>
      <c r="M129" s="158">
        <v>5.3379902342188211E-4</v>
      </c>
      <c r="N129" s="158">
        <v>3.3878908354294224E-4</v>
      </c>
      <c r="O129" s="158">
        <v>1.7894531124032155E-3</v>
      </c>
      <c r="P129" s="159">
        <v>4.0989278774153814E-2</v>
      </c>
      <c r="Q129" s="105"/>
    </row>
    <row r="130" spans="1:17" ht="46" x14ac:dyDescent="0.35">
      <c r="A130" s="155" t="s">
        <v>96</v>
      </c>
      <c r="B130" s="156">
        <v>0</v>
      </c>
      <c r="C130" s="158">
        <v>1.1750430786292862E-3</v>
      </c>
      <c r="D130" s="158">
        <v>3.8822337682374625E-3</v>
      </c>
      <c r="E130" s="158">
        <v>1.5067047056070447E-2</v>
      </c>
      <c r="F130" s="158">
        <v>0.24119495096940619</v>
      </c>
      <c r="G130" s="158">
        <v>8.3713141129774567E-3</v>
      </c>
      <c r="H130" s="158">
        <v>6.2553021964698821E-2</v>
      </c>
      <c r="I130" s="158">
        <v>9.6661121633684968E-2</v>
      </c>
      <c r="J130" s="158">
        <v>0.21267389916833287</v>
      </c>
      <c r="K130" s="158">
        <v>0.65298116091608627</v>
      </c>
      <c r="L130" s="157">
        <v>0</v>
      </c>
      <c r="M130" s="158">
        <v>3.4498302637075599E-4</v>
      </c>
      <c r="N130" s="158">
        <v>1.86749040988744E-3</v>
      </c>
      <c r="O130" s="158">
        <v>1.2022163547727883E-2</v>
      </c>
      <c r="P130" s="159">
        <v>4.1669952270664772E-2</v>
      </c>
      <c r="Q130" s="105"/>
    </row>
    <row r="131" spans="1:17" ht="34.5" x14ac:dyDescent="0.35">
      <c r="A131" s="155" t="s">
        <v>97</v>
      </c>
      <c r="B131" s="160">
        <v>0.44396952805807799</v>
      </c>
      <c r="C131" s="158">
        <v>0.59304500733774312</v>
      </c>
      <c r="D131" s="158">
        <v>0.71653765693620552</v>
      </c>
      <c r="E131" s="158">
        <v>0.78482083703301664</v>
      </c>
      <c r="F131" s="158">
        <v>0.92949558695761769</v>
      </c>
      <c r="G131" s="158">
        <v>0.71341445347612542</v>
      </c>
      <c r="H131" s="158">
        <v>0.82003921404973301</v>
      </c>
      <c r="I131" s="158">
        <v>0.91283673486655625</v>
      </c>
      <c r="J131" s="158">
        <v>0.95951034190420548</v>
      </c>
      <c r="K131" s="157">
        <v>1</v>
      </c>
      <c r="L131" s="158">
        <v>0.4195178925818277</v>
      </c>
      <c r="M131" s="158">
        <v>0.56162053305179549</v>
      </c>
      <c r="N131" s="158">
        <v>0.6597680252991952</v>
      </c>
      <c r="O131" s="158">
        <v>0.76326053997011212</v>
      </c>
      <c r="P131" s="159">
        <v>0.84897362657445297</v>
      </c>
      <c r="Q131" s="105"/>
    </row>
    <row r="132" spans="1:17" ht="34.5" x14ac:dyDescent="0.35">
      <c r="A132" s="155" t="s">
        <v>98</v>
      </c>
      <c r="B132" s="160">
        <v>6.654382253954643E-4</v>
      </c>
      <c r="C132" s="158">
        <v>7.0070952699477322E-4</v>
      </c>
      <c r="D132" s="158">
        <v>5.9462413291832845E-4</v>
      </c>
      <c r="E132" s="158">
        <v>2.0226793752485438E-2</v>
      </c>
      <c r="F132" s="158">
        <v>0.34131140755677863</v>
      </c>
      <c r="G132" s="158">
        <v>1.8961144875564502E-2</v>
      </c>
      <c r="H132" s="158">
        <v>0.11380004569155351</v>
      </c>
      <c r="I132" s="158">
        <v>0.20400131767979293</v>
      </c>
      <c r="J132" s="158">
        <v>0.41310403036155957</v>
      </c>
      <c r="K132" s="158">
        <v>0.72279131911740691</v>
      </c>
      <c r="L132" s="157">
        <v>0</v>
      </c>
      <c r="M132" s="158">
        <v>8.5003305983398058E-4</v>
      </c>
      <c r="N132" s="157">
        <v>0</v>
      </c>
      <c r="O132" s="158">
        <v>3.2186933054958733E-3</v>
      </c>
      <c r="P132" s="159">
        <v>6.9224023692195158E-2</v>
      </c>
      <c r="Q132" s="105"/>
    </row>
    <row r="133" spans="1:17" ht="34.5" x14ac:dyDescent="0.35">
      <c r="A133" s="155" t="s">
        <v>99</v>
      </c>
      <c r="B133" s="160">
        <v>4.5854113734276674E-4</v>
      </c>
      <c r="C133" s="158">
        <v>6.8111462074097991E-4</v>
      </c>
      <c r="D133" s="158">
        <v>7.5263906591526257E-3</v>
      </c>
      <c r="E133" s="158">
        <v>3.9190005536730223E-2</v>
      </c>
      <c r="F133" s="158">
        <v>0.52972952771098825</v>
      </c>
      <c r="G133" s="158">
        <v>4.0480480129850449E-2</v>
      </c>
      <c r="H133" s="158">
        <v>0.21156070036220842</v>
      </c>
      <c r="I133" s="158">
        <v>0.3671753021871712</v>
      </c>
      <c r="J133" s="158">
        <v>0.68588299110178785</v>
      </c>
      <c r="K133" s="158">
        <v>0.89589832882795695</v>
      </c>
      <c r="L133" s="158">
        <v>5.5433941084347561E-4</v>
      </c>
      <c r="M133" s="157">
        <v>0</v>
      </c>
      <c r="N133" s="158">
        <v>4.3541439238903674E-3</v>
      </c>
      <c r="O133" s="158">
        <v>8.3954741333264488E-3</v>
      </c>
      <c r="P133" s="159">
        <v>0.15473682780673489</v>
      </c>
      <c r="Q133" s="105"/>
    </row>
    <row r="134" spans="1:17" ht="34.5" x14ac:dyDescent="0.35">
      <c r="A134" s="155" t="s">
        <v>100</v>
      </c>
      <c r="B134" s="160">
        <v>1.8472119179454044E-3</v>
      </c>
      <c r="C134" s="158">
        <v>9.3173075132349879E-3</v>
      </c>
      <c r="D134" s="158">
        <v>2.0923196235250806E-2</v>
      </c>
      <c r="E134" s="158">
        <v>6.5691594785045535E-2</v>
      </c>
      <c r="F134" s="158">
        <v>4.4932531202017179E-2</v>
      </c>
      <c r="G134" s="158">
        <v>1.5353905733887813E-2</v>
      </c>
      <c r="H134" s="158">
        <v>1.2369780755910574E-2</v>
      </c>
      <c r="I134" s="158">
        <v>3.8323293951266577E-3</v>
      </c>
      <c r="J134" s="158">
        <v>1.8024852569959348E-2</v>
      </c>
      <c r="K134" s="158">
        <v>3.4455376552096469E-2</v>
      </c>
      <c r="L134" s="158">
        <v>1.4286694892300374E-3</v>
      </c>
      <c r="M134" s="158">
        <v>6.5922873414480622E-3</v>
      </c>
      <c r="N134" s="158">
        <v>1.5625108658593453E-2</v>
      </c>
      <c r="O134" s="158">
        <v>2.7056989019282038E-2</v>
      </c>
      <c r="P134" s="159">
        <v>0.11969050421397316</v>
      </c>
      <c r="Q134" s="105"/>
    </row>
    <row r="135" spans="1:17" ht="23" x14ac:dyDescent="0.35">
      <c r="A135" s="155" t="s">
        <v>101</v>
      </c>
      <c r="B135" s="160">
        <v>0.28641961082382245</v>
      </c>
      <c r="C135" s="158">
        <v>0.43492187102016006</v>
      </c>
      <c r="D135" s="158">
        <v>0.54946070998331964</v>
      </c>
      <c r="E135" s="158">
        <v>0.60576077142505957</v>
      </c>
      <c r="F135" s="158">
        <v>0.13671008335091822</v>
      </c>
      <c r="G135" s="158">
        <v>0.3063136214017676</v>
      </c>
      <c r="H135" s="158">
        <v>0.11395763281533601</v>
      </c>
      <c r="I135" s="158">
        <v>4.5385776264185086E-2</v>
      </c>
      <c r="J135" s="158">
        <v>3.7579021110848189E-2</v>
      </c>
      <c r="K135" s="158">
        <v>1.8500412121573842E-2</v>
      </c>
      <c r="L135" s="158">
        <v>0.25629226108996928</v>
      </c>
      <c r="M135" s="158">
        <v>0.40813642248819104</v>
      </c>
      <c r="N135" s="158">
        <v>0.52755903992335851</v>
      </c>
      <c r="O135" s="158">
        <v>0.60856245377501716</v>
      </c>
      <c r="P135" s="159">
        <v>0.61341693426741906</v>
      </c>
      <c r="Q135" s="105"/>
    </row>
    <row r="136" spans="1:17" ht="23" x14ac:dyDescent="0.35">
      <c r="A136" s="155" t="s">
        <v>102</v>
      </c>
      <c r="B136" s="160">
        <v>6.2393051903059417E-2</v>
      </c>
      <c r="C136" s="158">
        <v>0.12068242003035508</v>
      </c>
      <c r="D136" s="158">
        <v>0.19150784475787949</v>
      </c>
      <c r="E136" s="158">
        <v>0.30668024631925661</v>
      </c>
      <c r="F136" s="158">
        <v>0.48583408128485833</v>
      </c>
      <c r="G136" s="158">
        <v>0.1703715610007365</v>
      </c>
      <c r="H136" s="158">
        <v>0.19582963544849175</v>
      </c>
      <c r="I136" s="158">
        <v>0.32070950514144148</v>
      </c>
      <c r="J136" s="158">
        <v>0.4943238478352675</v>
      </c>
      <c r="K136" s="158">
        <v>0.75722284514361193</v>
      </c>
      <c r="L136" s="158">
        <v>5.1969847391919496E-2</v>
      </c>
      <c r="M136" s="158">
        <v>0.11763922461057348</v>
      </c>
      <c r="N136" s="158">
        <v>0.15084978194372495</v>
      </c>
      <c r="O136" s="158">
        <v>0.24485353243591476</v>
      </c>
      <c r="P136" s="159">
        <v>0.42641802438455223</v>
      </c>
      <c r="Q136" s="105"/>
    </row>
    <row r="137" spans="1:17" ht="34.5" x14ac:dyDescent="0.35">
      <c r="A137" s="155" t="s">
        <v>103</v>
      </c>
      <c r="B137" s="160">
        <v>0.78722781297415689</v>
      </c>
      <c r="C137" s="158">
        <v>0.95394209203847558</v>
      </c>
      <c r="D137" s="158">
        <v>0.97748248732757148</v>
      </c>
      <c r="E137" s="158">
        <v>0.99509770509326034</v>
      </c>
      <c r="F137" s="158">
        <v>0.99778479075016935</v>
      </c>
      <c r="G137" s="158">
        <v>0.94834726497774435</v>
      </c>
      <c r="H137" s="158">
        <v>0.99149468953915643</v>
      </c>
      <c r="I137" s="158">
        <v>0.99664820842294999</v>
      </c>
      <c r="J137" s="157">
        <v>1</v>
      </c>
      <c r="K137" s="157">
        <v>1</v>
      </c>
      <c r="L137" s="158">
        <v>0.75928004488439071</v>
      </c>
      <c r="M137" s="158">
        <v>0.94378979798466534</v>
      </c>
      <c r="N137" s="158">
        <v>0.97075607577314516</v>
      </c>
      <c r="O137" s="158">
        <v>0.99002759936478069</v>
      </c>
      <c r="P137" s="159">
        <v>0.99941928164780602</v>
      </c>
      <c r="Q137" s="105"/>
    </row>
    <row r="138" spans="1:17" ht="23" x14ac:dyDescent="0.35">
      <c r="A138" s="155" t="s">
        <v>104</v>
      </c>
      <c r="B138" s="160">
        <v>0.73572620862351457</v>
      </c>
      <c r="C138" s="158">
        <v>0.88686956085528312</v>
      </c>
      <c r="D138" s="158">
        <v>0.92038759617774135</v>
      </c>
      <c r="E138" s="158">
        <v>0.9396510109200984</v>
      </c>
      <c r="F138" s="158">
        <v>0.66989448168735488</v>
      </c>
      <c r="G138" s="158">
        <v>0.91647587860906299</v>
      </c>
      <c r="H138" s="158">
        <v>0.80360038621837793</v>
      </c>
      <c r="I138" s="158">
        <v>0.66688247986932869</v>
      </c>
      <c r="J138" s="158">
        <v>0.59918666839137924</v>
      </c>
      <c r="K138" s="158">
        <v>0.50468914771495232</v>
      </c>
      <c r="L138" s="158">
        <v>0.70701857745614261</v>
      </c>
      <c r="M138" s="158">
        <v>0.87258860846077269</v>
      </c>
      <c r="N138" s="158">
        <v>0.92251464171801212</v>
      </c>
      <c r="O138" s="158">
        <v>0.93199127603373011</v>
      </c>
      <c r="P138" s="159">
        <v>0.89769335385271976</v>
      </c>
      <c r="Q138" s="105"/>
    </row>
    <row r="139" spans="1:17" ht="46" x14ac:dyDescent="0.35">
      <c r="A139" s="155" t="s">
        <v>105</v>
      </c>
      <c r="B139" s="160">
        <v>0.19133253017617977</v>
      </c>
      <c r="C139" s="158">
        <v>0.39652928875521415</v>
      </c>
      <c r="D139" s="158">
        <v>0.6349585651215508</v>
      </c>
      <c r="E139" s="158">
        <v>0.8371359655138787</v>
      </c>
      <c r="F139" s="158">
        <v>0.88789023195956218</v>
      </c>
      <c r="G139" s="158">
        <v>0.48859743639467362</v>
      </c>
      <c r="H139" s="158">
        <v>0.63889030237465427</v>
      </c>
      <c r="I139" s="158">
        <v>0.83237986737792402</v>
      </c>
      <c r="J139" s="158">
        <v>0.93669774127972671</v>
      </c>
      <c r="K139" s="158">
        <v>0.97051324231711089</v>
      </c>
      <c r="L139" s="158">
        <v>0.1639377765803636</v>
      </c>
      <c r="M139" s="158">
        <v>0.35547920990472576</v>
      </c>
      <c r="N139" s="158">
        <v>0.52130380182059211</v>
      </c>
      <c r="O139" s="158">
        <v>0.77769649787669093</v>
      </c>
      <c r="P139" s="159">
        <v>0.93438420743951145</v>
      </c>
      <c r="Q139" s="105"/>
    </row>
    <row r="140" spans="1:17" ht="46" x14ac:dyDescent="0.35">
      <c r="A140" s="155" t="s">
        <v>106</v>
      </c>
      <c r="B140" s="160">
        <v>0.25493908719789005</v>
      </c>
      <c r="C140" s="158">
        <v>0.39829797588122862</v>
      </c>
      <c r="D140" s="158">
        <v>0.56367546294219717</v>
      </c>
      <c r="E140" s="158">
        <v>0.66536705517883499</v>
      </c>
      <c r="F140" s="158">
        <v>0.14777310152042511</v>
      </c>
      <c r="G140" s="158">
        <v>0.44418147824003379</v>
      </c>
      <c r="H140" s="158">
        <v>0.14713001722204597</v>
      </c>
      <c r="I140" s="158">
        <v>6.3049046738400588E-2</v>
      </c>
      <c r="J140" s="158">
        <v>2.9013869842346298E-2</v>
      </c>
      <c r="K140" s="158">
        <v>9.7234753505603261E-3</v>
      </c>
      <c r="L140" s="158">
        <v>0.22888056105862459</v>
      </c>
      <c r="M140" s="158">
        <v>0.36751170514073028</v>
      </c>
      <c r="N140" s="158">
        <v>0.49853649167147268</v>
      </c>
      <c r="O140" s="158">
        <v>0.62567025963783607</v>
      </c>
      <c r="P140" s="159">
        <v>0.67580148266404028</v>
      </c>
      <c r="Q140" s="105"/>
    </row>
    <row r="141" spans="1:17" ht="34.5" x14ac:dyDescent="0.35">
      <c r="A141" s="155" t="s">
        <v>107</v>
      </c>
      <c r="B141" s="160">
        <v>5.3009257669429596E-4</v>
      </c>
      <c r="C141" s="158">
        <v>4.2598510074699121E-3</v>
      </c>
      <c r="D141" s="158">
        <v>6.6068233983929293E-3</v>
      </c>
      <c r="E141" s="158">
        <v>3.2393289945897847E-3</v>
      </c>
      <c r="F141" s="158">
        <v>0.12186232578228717</v>
      </c>
      <c r="G141" s="158">
        <v>6.0260750024367198E-3</v>
      </c>
      <c r="H141" s="158">
        <v>2.7888971815218953E-2</v>
      </c>
      <c r="I141" s="158">
        <v>4.9856568073788E-2</v>
      </c>
      <c r="J141" s="158">
        <v>5.4560918015042807E-2</v>
      </c>
      <c r="K141" s="158">
        <v>0.33797546633501113</v>
      </c>
      <c r="L141" s="157">
        <v>0</v>
      </c>
      <c r="M141" s="158">
        <v>4.371904202157331E-3</v>
      </c>
      <c r="N141" s="158">
        <v>1.5768024718244248E-3</v>
      </c>
      <c r="O141" s="158">
        <v>9.2031321249481986E-3</v>
      </c>
      <c r="P141" s="159">
        <v>3.6372103168902714E-2</v>
      </c>
      <c r="Q141" s="105"/>
    </row>
    <row r="142" spans="1:17" ht="23" x14ac:dyDescent="0.35">
      <c r="A142" s="155" t="s">
        <v>108</v>
      </c>
      <c r="B142" s="160">
        <v>1.58611767855231E-3</v>
      </c>
      <c r="C142" s="157">
        <v>0</v>
      </c>
      <c r="D142" s="158">
        <v>1.0446638914396688E-3</v>
      </c>
      <c r="E142" s="158">
        <v>1.8824115753767522E-3</v>
      </c>
      <c r="F142" s="158">
        <v>3.3893565622617598E-3</v>
      </c>
      <c r="G142" s="157">
        <v>0</v>
      </c>
      <c r="H142" s="158">
        <v>5.9725675898996029E-3</v>
      </c>
      <c r="I142" s="157">
        <v>0</v>
      </c>
      <c r="J142" s="157">
        <v>0</v>
      </c>
      <c r="K142" s="157">
        <v>0</v>
      </c>
      <c r="L142" s="158">
        <v>1.917488896530251E-3</v>
      </c>
      <c r="M142" s="157">
        <v>0</v>
      </c>
      <c r="N142" s="158">
        <v>1.264487299980802E-3</v>
      </c>
      <c r="O142" s="158">
        <v>7.3284099205938496E-4</v>
      </c>
      <c r="P142" s="159">
        <v>5.5146599322957552E-3</v>
      </c>
      <c r="Q142" s="105"/>
    </row>
    <row r="143" spans="1:17" ht="34.5" x14ac:dyDescent="0.35">
      <c r="A143" s="155" t="s">
        <v>109</v>
      </c>
      <c r="B143" s="160">
        <v>1.213389143648958E-2</v>
      </c>
      <c r="C143" s="158">
        <v>2.5095146031754934E-2</v>
      </c>
      <c r="D143" s="158">
        <v>5.8031866063168347E-2</v>
      </c>
      <c r="E143" s="158">
        <v>0.21643877887419377</v>
      </c>
      <c r="F143" s="158">
        <v>0.6482996316939309</v>
      </c>
      <c r="G143" s="158">
        <v>0.11112976024643433</v>
      </c>
      <c r="H143" s="158">
        <v>0.27173841059432569</v>
      </c>
      <c r="I143" s="158">
        <v>0.48559397414051647</v>
      </c>
      <c r="J143" s="158">
        <v>0.73608818578732493</v>
      </c>
      <c r="K143" s="158">
        <v>0.9282466829496433</v>
      </c>
      <c r="L143" s="158">
        <v>7.9125819029891332E-3</v>
      </c>
      <c r="M143" s="158">
        <v>2.6398554499348366E-2</v>
      </c>
      <c r="N143" s="158">
        <v>4.1178976260497248E-2</v>
      </c>
      <c r="O143" s="158">
        <v>9.033709306661207E-2</v>
      </c>
      <c r="P143" s="159">
        <v>0.42531730925337768</v>
      </c>
      <c r="Q143" s="105"/>
    </row>
    <row r="144" spans="1:17" ht="80.5" x14ac:dyDescent="0.35">
      <c r="A144" s="155" t="s">
        <v>110</v>
      </c>
      <c r="B144" s="160">
        <v>0.76529402592717866</v>
      </c>
      <c r="C144" s="158">
        <v>0.48603454708871396</v>
      </c>
      <c r="D144" s="158">
        <v>0.24933459151520965</v>
      </c>
      <c r="E144" s="158">
        <v>0.12403120757400443</v>
      </c>
      <c r="F144" s="158">
        <v>6.0575544000927288E-2</v>
      </c>
      <c r="G144" s="158">
        <v>0.27078427729404242</v>
      </c>
      <c r="H144" s="158">
        <v>0.12902695051026608</v>
      </c>
      <c r="I144" s="158">
        <v>6.6399842035552409E-2</v>
      </c>
      <c r="J144" s="158">
        <v>6.4394046909176342E-2</v>
      </c>
      <c r="K144" s="158">
        <v>1.5337515180194414E-2</v>
      </c>
      <c r="L144" s="158">
        <v>0.80247562318651577</v>
      </c>
      <c r="M144" s="158">
        <v>0.55090839480038312</v>
      </c>
      <c r="N144" s="158">
        <v>0.31905673019948777</v>
      </c>
      <c r="O144" s="158">
        <v>0.18859617389388555</v>
      </c>
      <c r="P144" s="159">
        <v>8.1519243011236628E-2</v>
      </c>
      <c r="Q144" s="105"/>
    </row>
    <row r="145" spans="1:17" ht="69" x14ac:dyDescent="0.35">
      <c r="A145" s="155" t="s">
        <v>111</v>
      </c>
      <c r="B145" s="160">
        <v>0.10420936608370064</v>
      </c>
      <c r="C145" s="158">
        <v>8.835906113319833E-2</v>
      </c>
      <c r="D145" s="158">
        <v>7.9775531130924074E-2</v>
      </c>
      <c r="E145" s="158">
        <v>5.7298902017577667E-2</v>
      </c>
      <c r="F145" s="158">
        <v>2.1659879547010178E-3</v>
      </c>
      <c r="G145" s="158">
        <v>3.5471899130359405E-2</v>
      </c>
      <c r="H145" s="158">
        <v>7.6247309161150438E-3</v>
      </c>
      <c r="I145" s="157">
        <v>0</v>
      </c>
      <c r="J145" s="157">
        <v>0</v>
      </c>
      <c r="K145" s="157">
        <v>0</v>
      </c>
      <c r="L145" s="158">
        <v>0.10024387276341204</v>
      </c>
      <c r="M145" s="158">
        <v>0.10160475815613727</v>
      </c>
      <c r="N145" s="158">
        <v>8.5663031384340602E-2</v>
      </c>
      <c r="O145" s="158">
        <v>7.3443422250791049E-2</v>
      </c>
      <c r="P145" s="159">
        <v>3.8958451020091919E-2</v>
      </c>
      <c r="Q145" s="105"/>
    </row>
    <row r="146" spans="1:17" ht="80.5" x14ac:dyDescent="0.35">
      <c r="A146" s="155" t="s">
        <v>112</v>
      </c>
      <c r="B146" s="156">
        <v>0</v>
      </c>
      <c r="C146" s="157">
        <v>0</v>
      </c>
      <c r="D146" s="158">
        <v>5.233975833741155E-4</v>
      </c>
      <c r="E146" s="158">
        <v>1.753310131503415E-3</v>
      </c>
      <c r="F146" s="158">
        <v>0.15151925652720341</v>
      </c>
      <c r="G146" s="157">
        <v>0</v>
      </c>
      <c r="H146" s="158">
        <v>5.9725675898996029E-3</v>
      </c>
      <c r="I146" s="158">
        <v>4.5935890000565673E-2</v>
      </c>
      <c r="J146" s="158">
        <v>0.12461029740052232</v>
      </c>
      <c r="K146" s="158">
        <v>0.45600411669410262</v>
      </c>
      <c r="L146" s="157">
        <v>0</v>
      </c>
      <c r="M146" s="157">
        <v>0</v>
      </c>
      <c r="N146" s="157">
        <v>0</v>
      </c>
      <c r="O146" s="158">
        <v>1.8718610538538249E-3</v>
      </c>
      <c r="P146" s="159">
        <v>2.3343468267303529E-2</v>
      </c>
      <c r="Q146" s="105"/>
    </row>
    <row r="147" spans="1:17" ht="69" x14ac:dyDescent="0.35">
      <c r="A147" s="155" t="s">
        <v>113</v>
      </c>
      <c r="B147" s="160">
        <v>0.1296918420413502</v>
      </c>
      <c r="C147" s="158">
        <v>0.42471417224694241</v>
      </c>
      <c r="D147" s="158">
        <v>0.66813832373471727</v>
      </c>
      <c r="E147" s="158">
        <v>0.8129485865078816</v>
      </c>
      <c r="F147" s="158">
        <v>0.78209973715807435</v>
      </c>
      <c r="G147" s="158">
        <v>0.69374382357559761</v>
      </c>
      <c r="H147" s="158">
        <v>0.85737575098371954</v>
      </c>
      <c r="I147" s="158">
        <v>0.87639751294663915</v>
      </c>
      <c r="J147" s="158">
        <v>0.80564478252842742</v>
      </c>
      <c r="K147" s="158">
        <v>0.52865836812570322</v>
      </c>
      <c r="L147" s="158">
        <v>9.6307606647804259E-2</v>
      </c>
      <c r="M147" s="158">
        <v>0.34672826351222247</v>
      </c>
      <c r="N147" s="158">
        <v>0.5949414493326286</v>
      </c>
      <c r="O147" s="158">
        <v>0.7331730897284956</v>
      </c>
      <c r="P147" s="159">
        <v>0.85071850025840223</v>
      </c>
      <c r="Q147" s="105"/>
    </row>
    <row r="148" spans="1:17" ht="69" x14ac:dyDescent="0.35">
      <c r="A148" s="155" t="s">
        <v>114</v>
      </c>
      <c r="B148" s="160">
        <v>8.0476594777042902E-4</v>
      </c>
      <c r="C148" s="158">
        <v>8.9221953114575799E-4</v>
      </c>
      <c r="D148" s="157">
        <v>0</v>
      </c>
      <c r="E148" s="158">
        <v>7.8742997312449133E-4</v>
      </c>
      <c r="F148" s="158">
        <v>2.6128403506508139E-3</v>
      </c>
      <c r="G148" s="157">
        <v>0</v>
      </c>
      <c r="H148" s="157">
        <v>0</v>
      </c>
      <c r="I148" s="158">
        <v>6.0268742659685447E-3</v>
      </c>
      <c r="J148" s="158">
        <v>5.3508731618743116E-3</v>
      </c>
      <c r="K148" s="157">
        <v>0</v>
      </c>
      <c r="L148" s="158">
        <v>9.7289740226834745E-4</v>
      </c>
      <c r="M148" s="158">
        <v>7.5858353125655845E-4</v>
      </c>
      <c r="N148" s="158">
        <v>3.3878908354294224E-4</v>
      </c>
      <c r="O148" s="157">
        <v>0</v>
      </c>
      <c r="P148" s="159">
        <v>1.4277978261018915E-3</v>
      </c>
      <c r="Q148" s="105"/>
    </row>
    <row r="149" spans="1:17" ht="69" x14ac:dyDescent="0.35">
      <c r="A149" s="155" t="s">
        <v>115</v>
      </c>
      <c r="B149" s="160">
        <v>3.7383380633348307E-4</v>
      </c>
      <c r="C149" s="158">
        <v>5.8623974920363447E-4</v>
      </c>
      <c r="D149" s="158">
        <v>7.5266407064132309E-4</v>
      </c>
      <c r="E149" s="158">
        <v>8.971025121886051E-4</v>
      </c>
      <c r="F149" s="157">
        <v>0</v>
      </c>
      <c r="G149" s="158">
        <v>1.8512563016450587E-3</v>
      </c>
      <c r="H149" s="157">
        <v>0</v>
      </c>
      <c r="I149" s="157">
        <v>0</v>
      </c>
      <c r="J149" s="157">
        <v>0</v>
      </c>
      <c r="K149" s="157">
        <v>0</v>
      </c>
      <c r="L149" s="158">
        <v>4.5193505027089784E-4</v>
      </c>
      <c r="M149" s="158">
        <v>7.1116939132980991E-4</v>
      </c>
      <c r="N149" s="158">
        <v>9.1104341432363286E-4</v>
      </c>
      <c r="O149" s="157">
        <v>0</v>
      </c>
      <c r="P149" s="159">
        <v>6.1584597359088387E-4</v>
      </c>
      <c r="Q149" s="105"/>
    </row>
    <row r="150" spans="1:17" ht="92" x14ac:dyDescent="0.35">
      <c r="A150" s="155" t="s">
        <v>116</v>
      </c>
      <c r="B150" s="160">
        <v>0.33979507746774507</v>
      </c>
      <c r="C150" s="158">
        <v>0.11021198148841578</v>
      </c>
      <c r="D150" s="158">
        <v>4.9060358307454095E-2</v>
      </c>
      <c r="E150" s="158">
        <v>1.4698333106756781E-2</v>
      </c>
      <c r="F150" s="158">
        <v>3.7650271784438324E-3</v>
      </c>
      <c r="G150" s="158">
        <v>3.5954447093256188E-2</v>
      </c>
      <c r="H150" s="158">
        <v>1.4715322100437697E-3</v>
      </c>
      <c r="I150" s="157">
        <v>0</v>
      </c>
      <c r="J150" s="157">
        <v>0</v>
      </c>
      <c r="K150" s="157">
        <v>0</v>
      </c>
      <c r="L150" s="158">
        <v>0.36628230763137037</v>
      </c>
      <c r="M150" s="158">
        <v>0.15392477505063118</v>
      </c>
      <c r="N150" s="158">
        <v>7.0019737527060436E-2</v>
      </c>
      <c r="O150" s="158">
        <v>2.2901205246144078E-2</v>
      </c>
      <c r="P150" s="159">
        <v>1.294669587797012E-2</v>
      </c>
      <c r="Q150" s="105"/>
    </row>
    <row r="151" spans="1:17" ht="80.5" x14ac:dyDescent="0.35">
      <c r="A151" s="155" t="s">
        <v>117</v>
      </c>
      <c r="B151" s="160">
        <v>0.17972248979211433</v>
      </c>
      <c r="C151" s="158">
        <v>3.6910642468376845E-2</v>
      </c>
      <c r="D151" s="158">
        <v>1.8763869483841643E-2</v>
      </c>
      <c r="E151" s="158">
        <v>4.9280484521314564E-3</v>
      </c>
      <c r="F151" s="157">
        <v>0</v>
      </c>
      <c r="G151" s="158">
        <v>2.1279512309529222E-2</v>
      </c>
      <c r="H151" s="157">
        <v>0</v>
      </c>
      <c r="I151" s="157">
        <v>0</v>
      </c>
      <c r="J151" s="157">
        <v>0</v>
      </c>
      <c r="K151" s="157">
        <v>0</v>
      </c>
      <c r="L151" s="158">
        <v>0.19659251042677106</v>
      </c>
      <c r="M151" s="158">
        <v>5.8555159257980133E-2</v>
      </c>
      <c r="N151" s="158">
        <v>1.8862235513106798E-2</v>
      </c>
      <c r="O151" s="158">
        <v>1.2521659381389921E-2</v>
      </c>
      <c r="P151" s="159">
        <v>2.4355301803864393E-3</v>
      </c>
      <c r="Q151" s="105"/>
    </row>
    <row r="152" spans="1:17" ht="92" x14ac:dyDescent="0.35">
      <c r="A152" s="155" t="s">
        <v>118</v>
      </c>
      <c r="B152" s="160">
        <v>4.1324141016263416E-2</v>
      </c>
      <c r="C152" s="158">
        <v>1.379118466437761E-2</v>
      </c>
      <c r="D152" s="158">
        <v>1.0931478874550787E-3</v>
      </c>
      <c r="E152" s="158">
        <v>1.6949914554556919E-3</v>
      </c>
      <c r="F152" s="157">
        <v>0</v>
      </c>
      <c r="G152" s="158">
        <v>1.0414953343459288E-2</v>
      </c>
      <c r="H152" s="157">
        <v>0</v>
      </c>
      <c r="I152" s="157">
        <v>0</v>
      </c>
      <c r="J152" s="157">
        <v>0</v>
      </c>
      <c r="K152" s="157">
        <v>0</v>
      </c>
      <c r="L152" s="158">
        <v>4.5300861587740444E-2</v>
      </c>
      <c r="M152" s="158">
        <v>1.748607836543118E-2</v>
      </c>
      <c r="N152" s="158">
        <v>3.0093035385074462E-3</v>
      </c>
      <c r="O152" s="158">
        <v>4.6470639547679541E-4</v>
      </c>
      <c r="P152" s="159">
        <v>2.1490278557413272E-3</v>
      </c>
      <c r="Q152" s="105"/>
    </row>
    <row r="153" spans="1:17" ht="103.5" x14ac:dyDescent="0.35">
      <c r="A153" s="155" t="s">
        <v>119</v>
      </c>
      <c r="B153" s="160">
        <v>3.1020563006658477E-2</v>
      </c>
      <c r="C153" s="158">
        <v>3.7454859184858713E-3</v>
      </c>
      <c r="D153" s="158">
        <v>2.0130147014766687E-4</v>
      </c>
      <c r="E153" s="158">
        <v>5.9579561959304005E-4</v>
      </c>
      <c r="F153" s="158">
        <v>1.8625057828311903E-3</v>
      </c>
      <c r="G153" s="158">
        <v>4.8495719145629536E-3</v>
      </c>
      <c r="H153" s="157">
        <v>0</v>
      </c>
      <c r="I153" s="157">
        <v>0</v>
      </c>
      <c r="J153" s="157">
        <v>0</v>
      </c>
      <c r="K153" s="158">
        <v>8.4241577272232294E-3</v>
      </c>
      <c r="L153" s="158">
        <v>3.6498723908914808E-2</v>
      </c>
      <c r="M153" s="158">
        <v>3.7850779050455389E-3</v>
      </c>
      <c r="N153" s="158">
        <v>1.0374307991108413E-3</v>
      </c>
      <c r="O153" s="158">
        <v>6.9584695287449759E-4</v>
      </c>
      <c r="P153" s="161">
        <v>0</v>
      </c>
      <c r="Q153" s="105"/>
    </row>
    <row r="154" spans="1:17" ht="69" x14ac:dyDescent="0.35">
      <c r="A154" s="155" t="s">
        <v>120</v>
      </c>
      <c r="B154" s="160">
        <v>0.32116825212151073</v>
      </c>
      <c r="C154" s="158">
        <v>0.79309265296439113</v>
      </c>
      <c r="D154" s="158">
        <v>0.90843811029571975</v>
      </c>
      <c r="E154" s="158">
        <v>0.96755668071822354</v>
      </c>
      <c r="F154" s="158">
        <v>0.96905749658659412</v>
      </c>
      <c r="G154" s="158">
        <v>0.91367773837275401</v>
      </c>
      <c r="H154" s="158">
        <v>0.9896436904569178</v>
      </c>
      <c r="I154" s="158">
        <v>0.9836581809498921</v>
      </c>
      <c r="J154" s="158">
        <v>0.97916568203171672</v>
      </c>
      <c r="K154" s="158">
        <v>0.93635993248623717</v>
      </c>
      <c r="L154" s="158">
        <v>0.26573193549080865</v>
      </c>
      <c r="M154" s="158">
        <v>0.71168769138730892</v>
      </c>
      <c r="N154" s="158">
        <v>0.87771420577863213</v>
      </c>
      <c r="O154" s="158">
        <v>0.94766090582320961</v>
      </c>
      <c r="P154" s="159">
        <v>0.9692827692845617</v>
      </c>
      <c r="Q154" s="105"/>
    </row>
    <row r="155" spans="1:17" ht="80.5" x14ac:dyDescent="0.35">
      <c r="A155" s="155" t="s">
        <v>121</v>
      </c>
      <c r="B155" s="160">
        <v>8.6056851725801992E-2</v>
      </c>
      <c r="C155" s="158">
        <v>4.0494319587899466E-2</v>
      </c>
      <c r="D155" s="158">
        <v>1.9620548180388279E-2</v>
      </c>
      <c r="E155" s="158">
        <v>6.498157397562457E-3</v>
      </c>
      <c r="F155" s="158">
        <v>6.3584488027178731E-3</v>
      </c>
      <c r="G155" s="158">
        <v>7.1571432971073295E-3</v>
      </c>
      <c r="H155" s="158">
        <v>7.0209798373284376E-3</v>
      </c>
      <c r="I155" s="158">
        <v>1.7857854612717903E-3</v>
      </c>
      <c r="J155" s="158">
        <v>5.7446165752449993E-3</v>
      </c>
      <c r="K155" s="158">
        <v>1.4266653684883876E-2</v>
      </c>
      <c r="L155" s="158">
        <v>8.9141725904123906E-2</v>
      </c>
      <c r="M155" s="158">
        <v>5.2433758804731147E-2</v>
      </c>
      <c r="N155" s="158">
        <v>2.6957673532116248E-2</v>
      </c>
      <c r="O155" s="158">
        <v>1.3622488683337342E-2</v>
      </c>
      <c r="P155" s="159">
        <v>4.4137731736151398E-3</v>
      </c>
      <c r="Q155" s="105"/>
    </row>
    <row r="156" spans="1:17" ht="69" x14ac:dyDescent="0.35">
      <c r="A156" s="155" t="s">
        <v>122</v>
      </c>
      <c r="B156" s="160">
        <v>5.3879106357293224E-4</v>
      </c>
      <c r="C156" s="158">
        <v>8.6778630728818443E-4</v>
      </c>
      <c r="D156" s="158">
        <v>6.6284927625045445E-4</v>
      </c>
      <c r="E156" s="158">
        <v>2.3358557794840133E-3</v>
      </c>
      <c r="F156" s="158">
        <v>1.7929887640969543E-2</v>
      </c>
      <c r="G156" s="158">
        <v>4.8153773676857586E-3</v>
      </c>
      <c r="H156" s="158">
        <v>1.8637974957103919E-3</v>
      </c>
      <c r="I156" s="158">
        <v>9.3161528375627616E-3</v>
      </c>
      <c r="J156" s="158">
        <v>1.5089701393038236E-2</v>
      </c>
      <c r="K156" s="158">
        <v>4.0949256101656027E-2</v>
      </c>
      <c r="L156" s="157">
        <v>0</v>
      </c>
      <c r="M156" s="158">
        <v>1.0527144582004617E-3</v>
      </c>
      <c r="N156" s="158">
        <v>4.0261247843226988E-4</v>
      </c>
      <c r="O156" s="158">
        <v>1.4656819841187701E-3</v>
      </c>
      <c r="P156" s="159">
        <v>7.1483571318727282E-3</v>
      </c>
      <c r="Q156" s="105"/>
    </row>
    <row r="157" spans="1:17" ht="103.5" x14ac:dyDescent="0.35">
      <c r="A157" s="155" t="s">
        <v>123</v>
      </c>
      <c r="B157" s="160">
        <v>0.11392826295868329</v>
      </c>
      <c r="C157" s="158">
        <v>6.40619238595488E-2</v>
      </c>
      <c r="D157" s="158">
        <v>6.0147221416439779E-2</v>
      </c>
      <c r="E157" s="158">
        <v>3.9285158099808121E-2</v>
      </c>
      <c r="F157" s="158">
        <v>1.6769508766734029E-2</v>
      </c>
      <c r="G157" s="158">
        <v>5.2796528443365048E-2</v>
      </c>
      <c r="H157" s="158">
        <v>3.4589207584137444E-2</v>
      </c>
      <c r="I157" s="158">
        <v>1.8845335224310561E-2</v>
      </c>
      <c r="J157" s="157">
        <v>0</v>
      </c>
      <c r="K157" s="157">
        <v>0</v>
      </c>
      <c r="L157" s="158">
        <v>0.11796731841651793</v>
      </c>
      <c r="M157" s="158">
        <v>6.3158700591933431E-2</v>
      </c>
      <c r="N157" s="158">
        <v>7.7062453132804909E-2</v>
      </c>
      <c r="O157" s="158">
        <v>4.6891487777751331E-2</v>
      </c>
      <c r="P157" s="159">
        <v>3.5356733390606E-2</v>
      </c>
      <c r="Q157" s="105"/>
    </row>
    <row r="158" spans="1:17" ht="115" x14ac:dyDescent="0.35">
      <c r="A158" s="155" t="s">
        <v>124</v>
      </c>
      <c r="B158" s="160">
        <v>9.6843959397934533E-3</v>
      </c>
      <c r="C158" s="158">
        <v>1.9591489747066483E-3</v>
      </c>
      <c r="D158" s="157">
        <v>0</v>
      </c>
      <c r="E158" s="158">
        <v>2.4192981689985034E-3</v>
      </c>
      <c r="F158" s="158">
        <v>1.2007228381253204E-3</v>
      </c>
      <c r="G158" s="157">
        <v>0</v>
      </c>
      <c r="H158" s="157">
        <v>0</v>
      </c>
      <c r="I158" s="157">
        <v>0</v>
      </c>
      <c r="J158" s="157">
        <v>0</v>
      </c>
      <c r="K158" s="157">
        <v>0</v>
      </c>
      <c r="L158" s="158">
        <v>9.0676760114568409E-3</v>
      </c>
      <c r="M158" s="158">
        <v>5.3063604244418935E-3</v>
      </c>
      <c r="N158" s="157">
        <v>0</v>
      </c>
      <c r="O158" s="158">
        <v>1.7426240056113115E-3</v>
      </c>
      <c r="P158" s="159">
        <v>3.2284266123126949E-3</v>
      </c>
      <c r="Q158" s="105"/>
    </row>
    <row r="159" spans="1:17" ht="92" x14ac:dyDescent="0.35">
      <c r="A159" s="155" t="s">
        <v>125</v>
      </c>
      <c r="B159" s="160">
        <v>0.7608852460008162</v>
      </c>
      <c r="C159" s="158">
        <v>0.76061158907693505</v>
      </c>
      <c r="D159" s="158">
        <v>0.68584238888158067</v>
      </c>
      <c r="E159" s="158">
        <v>0.55344905155697299</v>
      </c>
      <c r="F159" s="158">
        <v>0.13253513177346934</v>
      </c>
      <c r="G159" s="158">
        <v>0.63336207908936815</v>
      </c>
      <c r="H159" s="158">
        <v>0.29621884227857309</v>
      </c>
      <c r="I159" s="158">
        <v>9.3762228223828126E-2</v>
      </c>
      <c r="J159" s="158">
        <v>2.4646546498287149E-2</v>
      </c>
      <c r="K159" s="158">
        <v>3.7326766715565724E-3</v>
      </c>
      <c r="L159" s="158">
        <v>0.76830986569069326</v>
      </c>
      <c r="M159" s="158">
        <v>0.769049756399797</v>
      </c>
      <c r="N159" s="158">
        <v>0.7151172557286537</v>
      </c>
      <c r="O159" s="158">
        <v>0.63743662688879987</v>
      </c>
      <c r="P159" s="159">
        <v>0.45312775164554964</v>
      </c>
      <c r="Q159" s="105"/>
    </row>
    <row r="160" spans="1:17" ht="103.5" x14ac:dyDescent="0.35">
      <c r="A160" s="155" t="s">
        <v>126</v>
      </c>
      <c r="B160" s="160">
        <v>7.2317742548080391E-2</v>
      </c>
      <c r="C160" s="158">
        <v>5.1775251139568323E-2</v>
      </c>
      <c r="D160" s="158">
        <v>3.0457977399728421E-2</v>
      </c>
      <c r="E160" s="158">
        <v>9.9576587122115756E-3</v>
      </c>
      <c r="F160" s="157">
        <v>0</v>
      </c>
      <c r="G160" s="158">
        <v>2.8192009974333156E-2</v>
      </c>
      <c r="H160" s="157">
        <v>0</v>
      </c>
      <c r="I160" s="157">
        <v>0</v>
      </c>
      <c r="J160" s="157">
        <v>0</v>
      </c>
      <c r="K160" s="157">
        <v>0</v>
      </c>
      <c r="L160" s="158">
        <v>6.8466956176901198E-2</v>
      </c>
      <c r="M160" s="158">
        <v>5.9948492805252399E-2</v>
      </c>
      <c r="N160" s="158">
        <v>4.3605553109460404E-2</v>
      </c>
      <c r="O160" s="158">
        <v>1.9876020573810837E-2</v>
      </c>
      <c r="P160" s="159">
        <v>4.5458560335490429E-3</v>
      </c>
      <c r="Q160" s="105"/>
    </row>
    <row r="161" spans="1:17" ht="138" x14ac:dyDescent="0.35">
      <c r="A161" s="155" t="s">
        <v>127</v>
      </c>
      <c r="B161" s="160">
        <v>1.5424376439222719E-2</v>
      </c>
      <c r="C161" s="158">
        <v>1.7876692213783692E-2</v>
      </c>
      <c r="D161" s="158">
        <v>2.8878494303064217E-2</v>
      </c>
      <c r="E161" s="158">
        <v>3.1569014805171373E-2</v>
      </c>
      <c r="F161" s="158">
        <v>6.304254835707299E-3</v>
      </c>
      <c r="G161" s="158">
        <v>1.310884738106069E-2</v>
      </c>
      <c r="H161" s="158">
        <v>1.4192405709828798E-2</v>
      </c>
      <c r="I161" s="157">
        <v>0</v>
      </c>
      <c r="J161" s="158">
        <v>1.1776447236311865E-3</v>
      </c>
      <c r="K161" s="157">
        <v>0</v>
      </c>
      <c r="L161" s="158">
        <v>1.4422818295157836E-2</v>
      </c>
      <c r="M161" s="158">
        <v>1.9287974865413934E-2</v>
      </c>
      <c r="N161" s="158">
        <v>1.9312235135640766E-2</v>
      </c>
      <c r="O161" s="158">
        <v>3.5031090122099512E-2</v>
      </c>
      <c r="P161" s="159">
        <v>3.1249012583157824E-2</v>
      </c>
      <c r="Q161" s="105"/>
    </row>
    <row r="162" spans="1:17" ht="92" x14ac:dyDescent="0.35">
      <c r="A162" s="155" t="s">
        <v>128</v>
      </c>
      <c r="B162" s="160">
        <v>7.8496699643375821E-3</v>
      </c>
      <c r="C162" s="158">
        <v>4.5056196990957871E-2</v>
      </c>
      <c r="D162" s="158">
        <v>9.4935806759664315E-2</v>
      </c>
      <c r="E162" s="158">
        <v>0.21138058928548917</v>
      </c>
      <c r="F162" s="158">
        <v>0.51870175046903733</v>
      </c>
      <c r="G162" s="158">
        <v>0.14284986652154597</v>
      </c>
      <c r="H162" s="158">
        <v>0.37555054245470582</v>
      </c>
      <c r="I162" s="158">
        <v>0.50882247124111757</v>
      </c>
      <c r="J162" s="158">
        <v>0.59841679640155165</v>
      </c>
      <c r="K162" s="158">
        <v>0.66808583391834464</v>
      </c>
      <c r="L162" s="158">
        <v>6.5804881870265659E-3</v>
      </c>
      <c r="M162" s="158">
        <v>3.2962958649785851E-2</v>
      </c>
      <c r="N162" s="158">
        <v>6.6433836741850244E-2</v>
      </c>
      <c r="O162" s="158">
        <v>0.14515248006435741</v>
      </c>
      <c r="P162" s="159">
        <v>0.27808502882169917</v>
      </c>
      <c r="Q162" s="105"/>
    </row>
    <row r="163" spans="1:17" ht="126.5" x14ac:dyDescent="0.35">
      <c r="A163" s="155" t="s">
        <v>129</v>
      </c>
      <c r="B163" s="160">
        <v>1.6941979877784462E-3</v>
      </c>
      <c r="C163" s="158">
        <v>3.7688037769160218E-3</v>
      </c>
      <c r="D163" s="158">
        <v>3.1360356848117877E-3</v>
      </c>
      <c r="E163" s="158">
        <v>1.5585783209685605E-3</v>
      </c>
      <c r="F163" s="158">
        <v>1.2232111942268557E-2</v>
      </c>
      <c r="G163" s="158">
        <v>2.9262291253776972E-3</v>
      </c>
      <c r="H163" s="158">
        <v>1.5110037498552517E-2</v>
      </c>
      <c r="I163" s="158">
        <v>1.9072590227181618E-2</v>
      </c>
      <c r="J163" s="158">
        <v>7.1406587406281832E-3</v>
      </c>
      <c r="K163" s="158">
        <v>7.9098042984890923E-3</v>
      </c>
      <c r="L163" s="158">
        <v>6.8356454418179121E-4</v>
      </c>
      <c r="M163" s="158">
        <v>4.7997234164494024E-3</v>
      </c>
      <c r="N163" s="158">
        <v>3.087317583832704E-3</v>
      </c>
      <c r="O163" s="158">
        <v>3.2821667106715854E-3</v>
      </c>
      <c r="P163" s="159">
        <v>4.1064884266072393E-3</v>
      </c>
      <c r="Q163" s="105"/>
    </row>
    <row r="164" spans="1:17" ht="92" x14ac:dyDescent="0.35">
      <c r="A164" s="155" t="s">
        <v>130</v>
      </c>
      <c r="B164" s="160">
        <v>1.2054181231727542E-2</v>
      </c>
      <c r="C164" s="158">
        <v>5.0467868432748739E-2</v>
      </c>
      <c r="D164" s="158">
        <v>9.0793380356896616E-2</v>
      </c>
      <c r="E164" s="158">
        <v>0.14346540297139126</v>
      </c>
      <c r="F164" s="158">
        <v>0.28911628035833448</v>
      </c>
      <c r="G164" s="158">
        <v>0.12118608754480868</v>
      </c>
      <c r="H164" s="158">
        <v>0.25932222227375251</v>
      </c>
      <c r="I164" s="158">
        <v>0.32536340963815003</v>
      </c>
      <c r="J164" s="158">
        <v>0.34358608454040679</v>
      </c>
      <c r="K164" s="158">
        <v>0.28368491848445837</v>
      </c>
      <c r="L164" s="158">
        <v>7.0520378679853708E-3</v>
      </c>
      <c r="M164" s="158">
        <v>4.0924673975398389E-2</v>
      </c>
      <c r="N164" s="158">
        <v>7.3700844251378253E-2</v>
      </c>
      <c r="O164" s="158">
        <v>0.1029270292044593</v>
      </c>
      <c r="P164" s="159">
        <v>0.18087242649664986</v>
      </c>
      <c r="Q164" s="105"/>
    </row>
    <row r="165" spans="1:17" ht="126.5" x14ac:dyDescent="0.35">
      <c r="A165" s="155" t="s">
        <v>131</v>
      </c>
      <c r="B165" s="156">
        <v>0</v>
      </c>
      <c r="C165" s="158">
        <v>4.0281654446086052E-4</v>
      </c>
      <c r="D165" s="158">
        <v>7.1075682103083349E-4</v>
      </c>
      <c r="E165" s="158">
        <v>4.8304574054520927E-3</v>
      </c>
      <c r="F165" s="158">
        <v>2.0722598171073209E-2</v>
      </c>
      <c r="G165" s="158">
        <v>5.578351920140355E-3</v>
      </c>
      <c r="H165" s="158">
        <v>5.0167422004503207E-3</v>
      </c>
      <c r="I165" s="158">
        <v>2.8894084694138397E-2</v>
      </c>
      <c r="J165" s="158">
        <v>2.5032269095494886E-2</v>
      </c>
      <c r="K165" s="158">
        <v>3.0295209789623058E-2</v>
      </c>
      <c r="L165" s="157">
        <v>0</v>
      </c>
      <c r="M165" s="158">
        <v>4.8865809104714974E-4</v>
      </c>
      <c r="N165" s="157">
        <v>0</v>
      </c>
      <c r="O165" s="158">
        <v>9.2999687846943521E-4</v>
      </c>
      <c r="P165" s="159">
        <v>7.8354726191430489E-3</v>
      </c>
      <c r="Q165" s="105"/>
    </row>
    <row r="166" spans="1:17" ht="92" x14ac:dyDescent="0.35">
      <c r="A166" s="155" t="s">
        <v>132</v>
      </c>
      <c r="B166" s="160">
        <v>6.1619269295601587E-3</v>
      </c>
      <c r="C166" s="158">
        <v>4.0197089903743826E-3</v>
      </c>
      <c r="D166" s="158">
        <v>4.5877924591358043E-3</v>
      </c>
      <c r="E166" s="158">
        <v>8.285072352421782E-4</v>
      </c>
      <c r="F166" s="158">
        <v>1.3910068368068714E-3</v>
      </c>
      <c r="G166" s="157">
        <v>0</v>
      </c>
      <c r="H166" s="157">
        <v>0</v>
      </c>
      <c r="I166" s="157">
        <v>0</v>
      </c>
      <c r="J166" s="157">
        <v>0</v>
      </c>
      <c r="K166" s="158">
        <v>6.2915568375279856E-3</v>
      </c>
      <c r="L166" s="158">
        <v>7.4492748100800253E-3</v>
      </c>
      <c r="M166" s="158">
        <v>4.0727007804795129E-3</v>
      </c>
      <c r="N166" s="158">
        <v>1.6805043163785277E-3</v>
      </c>
      <c r="O166" s="158">
        <v>6.0629722405205842E-3</v>
      </c>
      <c r="P166" s="161">
        <v>0</v>
      </c>
      <c r="Q166" s="105"/>
    </row>
    <row r="167" spans="1:17" ht="69" x14ac:dyDescent="0.35">
      <c r="A167" s="155" t="s">
        <v>133</v>
      </c>
      <c r="B167" s="156">
        <v>2.5833654334757647</v>
      </c>
      <c r="C167" s="157">
        <v>2.3998772287360421</v>
      </c>
      <c r="D167" s="157">
        <v>2.3363885636846526</v>
      </c>
      <c r="E167" s="157">
        <v>2.2930419796375134</v>
      </c>
      <c r="F167" s="157">
        <v>2.0835910762546335</v>
      </c>
      <c r="G167" s="157">
        <v>2.5359371615657884</v>
      </c>
      <c r="H167" s="157">
        <v>2.4289299667657089</v>
      </c>
      <c r="I167" s="157">
        <v>2.3051948012207748</v>
      </c>
      <c r="J167" s="157">
        <v>1.9556336562127252</v>
      </c>
      <c r="K167" s="157">
        <v>1.7109423227811698</v>
      </c>
      <c r="L167" s="157">
        <v>2.6123943114319061</v>
      </c>
      <c r="M167" s="157">
        <v>2.3962611024163758</v>
      </c>
      <c r="N167" s="157">
        <v>2.3548031571172365</v>
      </c>
      <c r="O167" s="157">
        <v>2.3410907968087851</v>
      </c>
      <c r="P167" s="161">
        <v>2.1777016127419406</v>
      </c>
      <c r="Q167" s="105"/>
    </row>
    <row r="168" spans="1:17" ht="57.5" x14ac:dyDescent="0.35">
      <c r="A168" s="155" t="s">
        <v>134</v>
      </c>
      <c r="B168" s="160">
        <v>0.36247812958717762</v>
      </c>
      <c r="C168" s="158">
        <v>0.35961388718098236</v>
      </c>
      <c r="D168" s="158">
        <v>0.38807740795948303</v>
      </c>
      <c r="E168" s="158">
        <v>0.32768651442161278</v>
      </c>
      <c r="F168" s="158">
        <v>4.7238690920320056E-2</v>
      </c>
      <c r="G168" s="158">
        <v>0.3013055015188924</v>
      </c>
      <c r="H168" s="158">
        <v>6.0698537939909404E-2</v>
      </c>
      <c r="I168" s="158">
        <v>1.948305042886329E-2</v>
      </c>
      <c r="J168" s="158">
        <v>1.4827620672081402E-2</v>
      </c>
      <c r="K168" s="157">
        <v>0</v>
      </c>
      <c r="L168" s="158">
        <v>0.3578262292042152</v>
      </c>
      <c r="M168" s="158">
        <v>0.35234291921792393</v>
      </c>
      <c r="N168" s="158">
        <v>0.39085467647903344</v>
      </c>
      <c r="O168" s="158">
        <v>0.39418346240693997</v>
      </c>
      <c r="P168" s="159">
        <v>0.25742116650159852</v>
      </c>
      <c r="Q168" s="105"/>
    </row>
    <row r="169" spans="1:17" ht="57.5" x14ac:dyDescent="0.35">
      <c r="A169" s="155" t="s">
        <v>135</v>
      </c>
      <c r="B169" s="160">
        <v>4.9384452115031195E-2</v>
      </c>
      <c r="C169" s="158">
        <v>8.0863939080679945E-2</v>
      </c>
      <c r="D169" s="158">
        <v>8.4071416907670865E-2</v>
      </c>
      <c r="E169" s="158">
        <v>0.15097189965949459</v>
      </c>
      <c r="F169" s="158">
        <v>3.4877397565242337E-2</v>
      </c>
      <c r="G169" s="158">
        <v>4.3183372287111367E-2</v>
      </c>
      <c r="H169" s="158">
        <v>1.4940599287384794E-2</v>
      </c>
      <c r="I169" s="158">
        <v>1.2514303821774519E-2</v>
      </c>
      <c r="J169" s="158">
        <v>8.5076692791750692E-3</v>
      </c>
      <c r="K169" s="157">
        <v>0</v>
      </c>
      <c r="L169" s="158">
        <v>4.7578385575759934E-2</v>
      </c>
      <c r="M169" s="158">
        <v>7.5746294281983581E-2</v>
      </c>
      <c r="N169" s="158">
        <v>8.3341693057151167E-2</v>
      </c>
      <c r="O169" s="158">
        <v>0.11406551006125229</v>
      </c>
      <c r="P169" s="159">
        <v>0.1685470639050286</v>
      </c>
      <c r="Q169" s="105"/>
    </row>
    <row r="170" spans="1:17" ht="57.5" x14ac:dyDescent="0.35">
      <c r="A170" s="155" t="s">
        <v>136</v>
      </c>
      <c r="B170" s="160">
        <v>2.7370486767058024E-2</v>
      </c>
      <c r="C170" s="158">
        <v>4.3129475225751113E-2</v>
      </c>
      <c r="D170" s="158">
        <v>0.10201750011300796</v>
      </c>
      <c r="E170" s="158">
        <v>0.19406326086751668</v>
      </c>
      <c r="F170" s="158">
        <v>5.9529459197846843E-2</v>
      </c>
      <c r="G170" s="158">
        <v>6.5343304282140455E-2</v>
      </c>
      <c r="H170" s="158">
        <v>1.8904424685843167E-2</v>
      </c>
      <c r="I170" s="158">
        <v>2.1482819021508104E-3</v>
      </c>
      <c r="J170" s="157">
        <v>0</v>
      </c>
      <c r="K170" s="158">
        <v>1.0507894047942348E-2</v>
      </c>
      <c r="L170" s="158">
        <v>2.1729618081580682E-2</v>
      </c>
      <c r="M170" s="158">
        <v>4.0119136381234578E-2</v>
      </c>
      <c r="N170" s="158">
        <v>8.0605566649079738E-2</v>
      </c>
      <c r="O170" s="158">
        <v>0.12581718838951889</v>
      </c>
      <c r="P170" s="159">
        <v>0.26299415475688664</v>
      </c>
      <c r="Q170" s="105"/>
    </row>
    <row r="171" spans="1:17" ht="34.5" x14ac:dyDescent="0.35">
      <c r="A171" s="155" t="s">
        <v>137</v>
      </c>
      <c r="B171" s="160">
        <v>0.63561916919535633</v>
      </c>
      <c r="C171" s="158">
        <v>0.52433962037460835</v>
      </c>
      <c r="D171" s="158">
        <v>0.39389595233429298</v>
      </c>
      <c r="E171" s="158">
        <v>0.23764678496221286</v>
      </c>
      <c r="F171" s="158">
        <v>0.11555039338658768</v>
      </c>
      <c r="G171" s="158">
        <v>0.53845807764628495</v>
      </c>
      <c r="H171" s="158">
        <v>0.24771677007504458</v>
      </c>
      <c r="I171" s="158">
        <v>0.13312313701441039</v>
      </c>
      <c r="J171" s="158">
        <v>4.3438532165748923E-2</v>
      </c>
      <c r="K171" s="158">
        <v>5.4758720052131636E-2</v>
      </c>
      <c r="L171" s="158">
        <v>0.653924297263764</v>
      </c>
      <c r="M171" s="158">
        <v>0.54582555803979316</v>
      </c>
      <c r="N171" s="158">
        <v>0.42878931782274021</v>
      </c>
      <c r="O171" s="158">
        <v>0.32983345166082706</v>
      </c>
      <c r="P171" s="159">
        <v>0.15296773438287375</v>
      </c>
      <c r="Q171" s="105"/>
    </row>
    <row r="172" spans="1:17" ht="46" x14ac:dyDescent="0.35">
      <c r="A172" s="155" t="s">
        <v>138</v>
      </c>
      <c r="B172" s="160">
        <v>0.15245581114223258</v>
      </c>
      <c r="C172" s="158">
        <v>0.24668012840726888</v>
      </c>
      <c r="D172" s="158">
        <v>0.37183223180746422</v>
      </c>
      <c r="E172" s="158">
        <v>0.44176140003116277</v>
      </c>
      <c r="F172" s="158">
        <v>8.7300491757721421E-2</v>
      </c>
      <c r="G172" s="158">
        <v>0.26663964269469426</v>
      </c>
      <c r="H172" s="158">
        <v>0.10076319138544729</v>
      </c>
      <c r="I172" s="158">
        <v>3.9992550245900052E-2</v>
      </c>
      <c r="J172" s="158">
        <v>1.6575293017173181E-2</v>
      </c>
      <c r="K172" s="158">
        <v>1.1494225546149444E-2</v>
      </c>
      <c r="L172" s="158">
        <v>0.12787510342189259</v>
      </c>
      <c r="M172" s="158">
        <v>0.22750658846307262</v>
      </c>
      <c r="N172" s="158">
        <v>0.32836174241390353</v>
      </c>
      <c r="O172" s="158">
        <v>0.43488243238353702</v>
      </c>
      <c r="P172" s="159">
        <v>0.41439306356183808</v>
      </c>
      <c r="Q172" s="105"/>
    </row>
    <row r="173" spans="1:17" ht="34.5" x14ac:dyDescent="0.35">
      <c r="A173" s="155" t="s">
        <v>139</v>
      </c>
      <c r="B173" s="160">
        <v>6.7759990091176879E-3</v>
      </c>
      <c r="C173" s="158">
        <v>2.3567782698112875E-2</v>
      </c>
      <c r="D173" s="158">
        <v>5.6419606637329742E-2</v>
      </c>
      <c r="E173" s="158">
        <v>0.17667950022223858</v>
      </c>
      <c r="F173" s="158">
        <v>4.6383167576093481E-2</v>
      </c>
      <c r="G173" s="158">
        <v>4.1181313930222972E-2</v>
      </c>
      <c r="H173" s="158">
        <v>7.1805338992098847E-3</v>
      </c>
      <c r="I173" s="157">
        <v>0</v>
      </c>
      <c r="J173" s="157">
        <v>0</v>
      </c>
      <c r="K173" s="157">
        <v>0</v>
      </c>
      <c r="L173" s="158">
        <v>2.2495093344506458E-3</v>
      </c>
      <c r="M173" s="158">
        <v>1.9201182403375632E-2</v>
      </c>
      <c r="N173" s="158">
        <v>4.987924149535268E-2</v>
      </c>
      <c r="O173" s="158">
        <v>8.2391113801446439E-2</v>
      </c>
      <c r="P173" s="159">
        <v>0.24124552674508307</v>
      </c>
      <c r="Q173" s="105"/>
    </row>
    <row r="174" spans="1:17" ht="57.5" x14ac:dyDescent="0.35">
      <c r="A174" s="155" t="s">
        <v>140</v>
      </c>
      <c r="B174" s="160">
        <v>0.42146548693518565</v>
      </c>
      <c r="C174" s="158">
        <v>0.52299470650128499</v>
      </c>
      <c r="D174" s="158">
        <v>0.61033304915658004</v>
      </c>
      <c r="E174" s="158">
        <v>0.62635769201847691</v>
      </c>
      <c r="F174" s="158">
        <v>0.11575570206273716</v>
      </c>
      <c r="G174" s="158">
        <v>0.51569786488623148</v>
      </c>
      <c r="H174" s="158">
        <v>0.11910052917521044</v>
      </c>
      <c r="I174" s="158">
        <v>1.9071348435451677E-2</v>
      </c>
      <c r="J174" s="158">
        <v>2.2386827650228112E-3</v>
      </c>
      <c r="K174" s="158">
        <v>4.2799112853770501E-3</v>
      </c>
      <c r="L174" s="158">
        <v>0.39028938847631373</v>
      </c>
      <c r="M174" s="158">
        <v>0.49642260319105741</v>
      </c>
      <c r="N174" s="158">
        <v>0.59001228343392254</v>
      </c>
      <c r="O174" s="158">
        <v>0.63469736732828597</v>
      </c>
      <c r="P174" s="159">
        <v>0.61809255976514532</v>
      </c>
      <c r="Q174" s="105"/>
    </row>
    <row r="175" spans="1:17" ht="57.5" x14ac:dyDescent="0.35">
      <c r="A175" s="155" t="s">
        <v>141</v>
      </c>
      <c r="B175" s="160">
        <v>3.6102034117824065E-3</v>
      </c>
      <c r="C175" s="158">
        <v>5.3130440136863692E-3</v>
      </c>
      <c r="D175" s="158">
        <v>1.3838538395424769E-2</v>
      </c>
      <c r="E175" s="158">
        <v>2.8299608046004739E-2</v>
      </c>
      <c r="F175" s="158">
        <v>8.2494047102461502E-3</v>
      </c>
      <c r="G175" s="158">
        <v>8.0728701319622721E-3</v>
      </c>
      <c r="H175" s="158">
        <v>2.3226609466026906E-3</v>
      </c>
      <c r="I175" s="157">
        <v>0</v>
      </c>
      <c r="J175" s="157">
        <v>0</v>
      </c>
      <c r="K175" s="157">
        <v>0</v>
      </c>
      <c r="L175" s="158">
        <v>2.5215663437301293E-3</v>
      </c>
      <c r="M175" s="158">
        <v>7.3308555811033762E-3</v>
      </c>
      <c r="N175" s="158">
        <v>1.2343490275809573E-2</v>
      </c>
      <c r="O175" s="158">
        <v>1.5537587584087664E-2</v>
      </c>
      <c r="P175" s="159">
        <v>3.6710053222154419E-2</v>
      </c>
      <c r="Q175" s="105"/>
    </row>
    <row r="176" spans="1:17" ht="57.5" x14ac:dyDescent="0.35">
      <c r="A176" s="155" t="s">
        <v>142</v>
      </c>
      <c r="B176" s="160">
        <v>2.05645527506135E-3</v>
      </c>
      <c r="C176" s="158">
        <v>7.675874461137278E-4</v>
      </c>
      <c r="D176" s="158">
        <v>1.1794427212477581E-3</v>
      </c>
      <c r="E176" s="158">
        <v>1.1963002198741366E-2</v>
      </c>
      <c r="F176" s="157">
        <v>0</v>
      </c>
      <c r="G176" s="157">
        <v>0</v>
      </c>
      <c r="H176" s="157">
        <v>0</v>
      </c>
      <c r="I176" s="157">
        <v>0</v>
      </c>
      <c r="J176" s="157">
        <v>0</v>
      </c>
      <c r="K176" s="157">
        <v>0</v>
      </c>
      <c r="L176" s="158">
        <v>2.4860892791638907E-3</v>
      </c>
      <c r="M176" s="158">
        <v>4.5491037397795396E-4</v>
      </c>
      <c r="N176" s="158">
        <v>1.9259704744057887E-3</v>
      </c>
      <c r="O176" s="158">
        <v>4.7815501052909971E-3</v>
      </c>
      <c r="P176" s="159">
        <v>9.9768141847072743E-3</v>
      </c>
      <c r="Q176" s="105"/>
    </row>
    <row r="177" spans="1:17" ht="46" x14ac:dyDescent="0.35">
      <c r="A177" s="155" t="s">
        <v>143</v>
      </c>
      <c r="B177" s="160">
        <v>0.46872807112488885</v>
      </c>
      <c r="C177" s="158">
        <v>0.35529767661444267</v>
      </c>
      <c r="D177" s="158">
        <v>0.25645550201240075</v>
      </c>
      <c r="E177" s="158">
        <v>0.17703152832578262</v>
      </c>
      <c r="F177" s="158">
        <v>5.0559429072294923E-2</v>
      </c>
      <c r="G177" s="158">
        <v>0.35616844158490063</v>
      </c>
      <c r="H177" s="158">
        <v>7.3617676517352654E-2</v>
      </c>
      <c r="I177" s="158">
        <v>6.9554555216212274E-2</v>
      </c>
      <c r="J177" s="158">
        <v>1.5414792432697656E-2</v>
      </c>
      <c r="K177" s="158">
        <v>1.3909621024035517E-2</v>
      </c>
      <c r="L177" s="158">
        <v>0.48277646285145565</v>
      </c>
      <c r="M177" s="158">
        <v>0.38528044550892343</v>
      </c>
      <c r="N177" s="158">
        <v>0.27831007110918421</v>
      </c>
      <c r="O177" s="158">
        <v>0.21833492388854406</v>
      </c>
      <c r="P177" s="159">
        <v>0.12423095278922888</v>
      </c>
      <c r="Q177" s="105"/>
    </row>
    <row r="178" spans="1:17" ht="46" x14ac:dyDescent="0.35">
      <c r="A178" s="155" t="s">
        <v>144</v>
      </c>
      <c r="B178" s="160">
        <v>0.12843855091334785</v>
      </c>
      <c r="C178" s="158">
        <v>0.16927207149197296</v>
      </c>
      <c r="D178" s="158">
        <v>0.24137379072949372</v>
      </c>
      <c r="E178" s="158">
        <v>0.21731782777128311</v>
      </c>
      <c r="F178" s="158">
        <v>3.7258134116174409E-2</v>
      </c>
      <c r="G178" s="158">
        <v>0.12863581145017711</v>
      </c>
      <c r="H178" s="158">
        <v>4.7891693646659433E-2</v>
      </c>
      <c r="I178" s="158">
        <v>1.414549866616269E-2</v>
      </c>
      <c r="J178" s="157">
        <v>0</v>
      </c>
      <c r="K178" s="157">
        <v>0</v>
      </c>
      <c r="L178" s="158">
        <v>0.11677614986576351</v>
      </c>
      <c r="M178" s="158">
        <v>0.15812089294753004</v>
      </c>
      <c r="N178" s="158">
        <v>0.23300196597080208</v>
      </c>
      <c r="O178" s="158">
        <v>0.24209564026406494</v>
      </c>
      <c r="P178" s="159">
        <v>0.20030641683624559</v>
      </c>
      <c r="Q178" s="105"/>
    </row>
    <row r="179" spans="1:17" ht="46" x14ac:dyDescent="0.35">
      <c r="A179" s="155" t="s">
        <v>145</v>
      </c>
      <c r="B179" s="160">
        <v>3.6612075246141039E-2</v>
      </c>
      <c r="C179" s="158">
        <v>8.8422527346303861E-2</v>
      </c>
      <c r="D179" s="158">
        <v>0.14375876029669438</v>
      </c>
      <c r="E179" s="158">
        <v>0.29950046507165345</v>
      </c>
      <c r="F179" s="158">
        <v>7.668230986653031E-2</v>
      </c>
      <c r="G179" s="158">
        <v>0.13354345867582887</v>
      </c>
      <c r="H179" s="158">
        <v>3.3846766444503247E-2</v>
      </c>
      <c r="I179" s="158">
        <v>1.1288694523852883E-2</v>
      </c>
      <c r="J179" s="158">
        <v>8.5048040250357247E-3</v>
      </c>
      <c r="K179" s="158">
        <v>3.1480581557046718E-3</v>
      </c>
      <c r="L179" s="158">
        <v>2.5193907692909499E-2</v>
      </c>
      <c r="M179" s="158">
        <v>8.1801393171840861E-2</v>
      </c>
      <c r="N179" s="158">
        <v>0.10721948762007794</v>
      </c>
      <c r="O179" s="158">
        <v>0.21097935280055469</v>
      </c>
      <c r="P179" s="159">
        <v>0.36101525731460599</v>
      </c>
      <c r="Q179" s="105"/>
    </row>
    <row r="180" spans="1:17" ht="46" x14ac:dyDescent="0.35">
      <c r="A180" s="155" t="s">
        <v>146</v>
      </c>
      <c r="B180" s="160">
        <v>0.36784937469473161</v>
      </c>
      <c r="C180" s="158">
        <v>0.28598439228991396</v>
      </c>
      <c r="D180" s="158">
        <v>0.22496319740647897</v>
      </c>
      <c r="E180" s="158">
        <v>0.14154965824642915</v>
      </c>
      <c r="F180" s="158">
        <v>7.0704138355417237E-2</v>
      </c>
      <c r="G180" s="158">
        <v>0.31450738023490032</v>
      </c>
      <c r="H180" s="158">
        <v>0.15351688969607838</v>
      </c>
      <c r="I180" s="158">
        <v>8.220018651925276E-2</v>
      </c>
      <c r="J180" s="158">
        <v>2.9635399380271737E-2</v>
      </c>
      <c r="K180" s="158">
        <v>2.5292908831894514E-2</v>
      </c>
      <c r="L180" s="158">
        <v>0.37345599451876299</v>
      </c>
      <c r="M180" s="158">
        <v>0.2971748430949554</v>
      </c>
      <c r="N180" s="158">
        <v>0.25166134587185857</v>
      </c>
      <c r="O180" s="158">
        <v>0.18046690862499334</v>
      </c>
      <c r="P180" s="159">
        <v>0.10185831577058534</v>
      </c>
      <c r="Q180" s="105"/>
    </row>
    <row r="181" spans="1:17" ht="46" x14ac:dyDescent="0.35">
      <c r="A181" s="155" t="s">
        <v>147</v>
      </c>
      <c r="B181" s="160">
        <v>9.065253517081745E-2</v>
      </c>
      <c r="C181" s="158">
        <v>0.13767388655029655</v>
      </c>
      <c r="D181" s="158">
        <v>0.19719033992854443</v>
      </c>
      <c r="E181" s="158">
        <v>0.198542230696823</v>
      </c>
      <c r="F181" s="158">
        <v>4.0731298987449649E-2</v>
      </c>
      <c r="G181" s="158">
        <v>0.13097278007461804</v>
      </c>
      <c r="H181" s="158">
        <v>8.3258359194923359E-2</v>
      </c>
      <c r="I181" s="158">
        <v>3.7291365023654294E-2</v>
      </c>
      <c r="J181" s="158">
        <v>4.2205793691081211E-3</v>
      </c>
      <c r="K181" s="158">
        <v>1.783720416794941E-2</v>
      </c>
      <c r="L181" s="158">
        <v>7.7541878563781669E-2</v>
      </c>
      <c r="M181" s="158">
        <v>0.12897031690033267</v>
      </c>
      <c r="N181" s="158">
        <v>0.17651167094617373</v>
      </c>
      <c r="O181" s="158">
        <v>0.22742745487031343</v>
      </c>
      <c r="P181" s="159">
        <v>0.15401097813672826</v>
      </c>
      <c r="Q181" s="105"/>
    </row>
    <row r="182" spans="1:17" ht="46" x14ac:dyDescent="0.35">
      <c r="A182" s="155" t="s">
        <v>148</v>
      </c>
      <c r="B182" s="160">
        <v>2.9279541649313415E-2</v>
      </c>
      <c r="C182" s="158">
        <v>6.4065482787397321E-2</v>
      </c>
      <c r="D182" s="158">
        <v>0.13772610750093581</v>
      </c>
      <c r="E182" s="158">
        <v>0.31072021389648713</v>
      </c>
      <c r="F182" s="158">
        <v>7.7802652213901188E-2</v>
      </c>
      <c r="G182" s="158">
        <v>9.4108406062845831E-2</v>
      </c>
      <c r="H182" s="158">
        <v>3.4215006170992435E-2</v>
      </c>
      <c r="I182" s="158">
        <v>1.4466738444837961E-2</v>
      </c>
      <c r="J182" s="158">
        <v>3.1539308631614096E-3</v>
      </c>
      <c r="K182" s="158">
        <v>8.0980828219538691E-3</v>
      </c>
      <c r="L182" s="158">
        <v>1.8656697466333666E-2</v>
      </c>
      <c r="M182" s="158">
        <v>5.8340767249402167E-2</v>
      </c>
      <c r="N182" s="158">
        <v>0.11336989447639552</v>
      </c>
      <c r="O182" s="158">
        <v>0.20478018825913566</v>
      </c>
      <c r="P182" s="159">
        <v>0.36753146862725866</v>
      </c>
      <c r="Q182" s="105"/>
    </row>
    <row r="183" spans="1:17" ht="57.5" x14ac:dyDescent="0.35">
      <c r="A183" s="155" t="s">
        <v>149</v>
      </c>
      <c r="B183" s="160">
        <v>0.44446133513792074</v>
      </c>
      <c r="C183" s="158">
        <v>0.30877592945777427</v>
      </c>
      <c r="D183" s="158">
        <v>0.24269965290352422</v>
      </c>
      <c r="E183" s="158">
        <v>0.16894636744644131</v>
      </c>
      <c r="F183" s="158">
        <v>0.12730245879697283</v>
      </c>
      <c r="G183" s="158">
        <v>0.3602499582033743</v>
      </c>
      <c r="H183" s="158">
        <v>0.25306802110607529</v>
      </c>
      <c r="I183" s="158">
        <v>0.17147430189582297</v>
      </c>
      <c r="J183" s="158">
        <v>9.54686915591417E-2</v>
      </c>
      <c r="K183" s="158">
        <v>7.3480528369491011E-2</v>
      </c>
      <c r="L183" s="158">
        <v>0.45493145843283272</v>
      </c>
      <c r="M183" s="158">
        <v>0.32429829358734108</v>
      </c>
      <c r="N183" s="158">
        <v>0.27914282219030628</v>
      </c>
      <c r="O183" s="158">
        <v>0.18317294436536136</v>
      </c>
      <c r="P183" s="159">
        <v>0.12216143852673823</v>
      </c>
      <c r="Q183" s="105"/>
    </row>
    <row r="184" spans="1:17" ht="57.5" x14ac:dyDescent="0.35">
      <c r="A184" s="155" t="s">
        <v>150</v>
      </c>
      <c r="B184" s="160">
        <v>0.2608359421553062</v>
      </c>
      <c r="C184" s="158">
        <v>0.36171329775884148</v>
      </c>
      <c r="D184" s="158">
        <v>0.4439006636274434</v>
      </c>
      <c r="E184" s="158">
        <v>0.43567320681379917</v>
      </c>
      <c r="F184" s="158">
        <v>0.12005142689435803</v>
      </c>
      <c r="G184" s="158">
        <v>0.33574783300572891</v>
      </c>
      <c r="H184" s="158">
        <v>0.1233868030681297</v>
      </c>
      <c r="I184" s="158">
        <v>9.480426227611996E-2</v>
      </c>
      <c r="J184" s="158">
        <v>6.0695218630373943E-2</v>
      </c>
      <c r="K184" s="158">
        <v>4.3147266207253725E-2</v>
      </c>
      <c r="L184" s="158">
        <v>0.24171833072138912</v>
      </c>
      <c r="M184" s="158">
        <v>0.34594749922136792</v>
      </c>
      <c r="N184" s="158">
        <v>0.39931438114143292</v>
      </c>
      <c r="O184" s="158">
        <v>0.50274765526959841</v>
      </c>
      <c r="P184" s="159">
        <v>0.38389902488294997</v>
      </c>
      <c r="Q184" s="105"/>
    </row>
    <row r="185" spans="1:17" ht="57.5" x14ac:dyDescent="0.35">
      <c r="A185" s="155" t="s">
        <v>151</v>
      </c>
      <c r="B185" s="160">
        <v>1.7896710257078122E-2</v>
      </c>
      <c r="C185" s="158">
        <v>4.9060745332753328E-2</v>
      </c>
      <c r="D185" s="158">
        <v>0.10009826236419263</v>
      </c>
      <c r="E185" s="158">
        <v>0.20221886891767241</v>
      </c>
      <c r="F185" s="158">
        <v>7.4206125622073016E-2</v>
      </c>
      <c r="G185" s="158">
        <v>7.0695945964239698E-2</v>
      </c>
      <c r="H185" s="158">
        <v>1.3973881550203926E-2</v>
      </c>
      <c r="I185" s="158">
        <v>1.6622638330065814E-2</v>
      </c>
      <c r="J185" s="158">
        <v>1.7787118611573532E-2</v>
      </c>
      <c r="K185" s="158">
        <v>1.6477553921343976E-2</v>
      </c>
      <c r="L185" s="158">
        <v>1.1885093889921913E-2</v>
      </c>
      <c r="M185" s="158">
        <v>3.8039060232236986E-2</v>
      </c>
      <c r="N185" s="158">
        <v>9.3391928721431358E-2</v>
      </c>
      <c r="O185" s="158">
        <v>0.13157773175216983</v>
      </c>
      <c r="P185" s="159">
        <v>0.26986043493167944</v>
      </c>
      <c r="Q185" s="105"/>
    </row>
    <row r="186" spans="1:17" ht="34.5" x14ac:dyDescent="0.35">
      <c r="A186" s="155" t="s">
        <v>152</v>
      </c>
      <c r="B186" s="160">
        <v>0.16181600884009406</v>
      </c>
      <c r="C186" s="158">
        <v>0.14207326065138556</v>
      </c>
      <c r="D186" s="158">
        <v>0.10419935796858475</v>
      </c>
      <c r="E186" s="158">
        <v>8.7335943730341939E-2</v>
      </c>
      <c r="F186" s="158">
        <v>1.6323872176162189E-2</v>
      </c>
      <c r="G186" s="158">
        <v>0.16868317193405671</v>
      </c>
      <c r="H186" s="158">
        <v>2.8471097988484722E-2</v>
      </c>
      <c r="I186" s="157">
        <v>0</v>
      </c>
      <c r="J186" s="158">
        <v>5.3508731618743133E-3</v>
      </c>
      <c r="K186" s="157">
        <v>0</v>
      </c>
      <c r="L186" s="158">
        <v>0.16156758382680375</v>
      </c>
      <c r="M186" s="158">
        <v>0.14577301879716884</v>
      </c>
      <c r="N186" s="158">
        <v>0.11563151364705922</v>
      </c>
      <c r="O186" s="158">
        <v>8.8555493296315624E-2</v>
      </c>
      <c r="P186" s="159">
        <v>7.5398389960698572E-2</v>
      </c>
      <c r="Q186" s="105"/>
    </row>
    <row r="187" spans="1:17" ht="34.5" x14ac:dyDescent="0.35">
      <c r="A187" s="155" t="s">
        <v>153</v>
      </c>
      <c r="B187" s="160">
        <v>1.8046155224775467E-2</v>
      </c>
      <c r="C187" s="158">
        <v>1.851655191572717E-2</v>
      </c>
      <c r="D187" s="158">
        <v>4.8957765091144204E-2</v>
      </c>
      <c r="E187" s="158">
        <v>4.3046999419419064E-2</v>
      </c>
      <c r="F187" s="158">
        <v>1.1940705562116478E-2</v>
      </c>
      <c r="G187" s="158">
        <v>3.6577555246001064E-2</v>
      </c>
      <c r="H187" s="158">
        <v>1.0017318985074079E-2</v>
      </c>
      <c r="I187" s="158">
        <v>2.7470994929725263E-3</v>
      </c>
      <c r="J187" s="158">
        <v>2.4389725587850748E-3</v>
      </c>
      <c r="K187" s="157">
        <v>0</v>
      </c>
      <c r="L187" s="158">
        <v>1.3425687299182643E-2</v>
      </c>
      <c r="M187" s="158">
        <v>2.3190890725047455E-2</v>
      </c>
      <c r="N187" s="158">
        <v>3.5853078492151039E-2</v>
      </c>
      <c r="O187" s="158">
        <v>5.1489447758560417E-2</v>
      </c>
      <c r="P187" s="159">
        <v>4.1820200233496634E-2</v>
      </c>
      <c r="Q187" s="105"/>
    </row>
    <row r="188" spans="1:17" ht="34.5" x14ac:dyDescent="0.35">
      <c r="A188" s="155" t="s">
        <v>154</v>
      </c>
      <c r="B188" s="160">
        <v>1.3163958540284031E-3</v>
      </c>
      <c r="C188" s="158">
        <v>7.6048343246915605E-3</v>
      </c>
      <c r="D188" s="158">
        <v>7.8443223946797289E-3</v>
      </c>
      <c r="E188" s="158">
        <v>4.0896633842032723E-2</v>
      </c>
      <c r="F188" s="158">
        <v>1.700149335617783E-2</v>
      </c>
      <c r="G188" s="158">
        <v>2.2386767526831088E-2</v>
      </c>
      <c r="H188" s="157">
        <v>0</v>
      </c>
      <c r="I188" s="158">
        <v>6.7095216939200633E-3</v>
      </c>
      <c r="J188" s="158">
        <v>8.0704889921374492E-3</v>
      </c>
      <c r="K188" s="157">
        <v>0</v>
      </c>
      <c r="L188" s="158">
        <v>1.1122700851135319E-3</v>
      </c>
      <c r="M188" s="158">
        <v>5.7590538872119984E-3</v>
      </c>
      <c r="N188" s="158">
        <v>6.1485167331814233E-3</v>
      </c>
      <c r="O188" s="158">
        <v>1.6739897700277496E-2</v>
      </c>
      <c r="P188" s="159">
        <v>5.9982808573314991E-2</v>
      </c>
      <c r="Q188" s="105"/>
    </row>
    <row r="189" spans="1:17" ht="15" thickBot="1" x14ac:dyDescent="0.4">
      <c r="A189" s="162" t="s">
        <v>155</v>
      </c>
      <c r="B189" s="127">
        <v>2.3485426127855686</v>
      </c>
      <c r="C189" s="129">
        <v>2.899061931309066</v>
      </c>
      <c r="D189" s="129">
        <v>3.3500834534680548</v>
      </c>
      <c r="E189" s="129">
        <v>4.39748497491395</v>
      </c>
      <c r="F189" s="129">
        <v>1.4438137235828712</v>
      </c>
      <c r="G189" s="129">
        <v>2.0240780594817909</v>
      </c>
      <c r="H189" s="129">
        <v>1.2194014524861763</v>
      </c>
      <c r="I189" s="128">
        <v>0.28231599872017898</v>
      </c>
      <c r="J189" s="128">
        <v>0.13193586183154327</v>
      </c>
      <c r="K189" s="128">
        <v>0.38859213374935958</v>
      </c>
      <c r="L189" s="129">
        <v>2.206534045673227</v>
      </c>
      <c r="M189" s="129">
        <v>2.8892980504104742</v>
      </c>
      <c r="N189" s="129">
        <v>3.1303994372991659</v>
      </c>
      <c r="O189" s="129">
        <v>3.8766446323532331</v>
      </c>
      <c r="P189" s="130">
        <v>5.3034536596342932</v>
      </c>
      <c r="Q189" s="105"/>
    </row>
  </sheetData>
  <mergeCells count="30">
    <mergeCell ref="C47:E47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19:C20"/>
    <mergeCell ref="C21:I21"/>
    <mergeCell ref="C28:E28"/>
    <mergeCell ref="C29:E29"/>
    <mergeCell ref="C30:C31"/>
    <mergeCell ref="C32:D32"/>
    <mergeCell ref="C33:D33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2019-07-24T16:04:46Z</dcterms:modified>
</cp:coreProperties>
</file>